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76" yWindow="65446" windowWidth="1980" windowHeight="1309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<sst xmlns="http://schemas.openxmlformats.org/spreadsheetml/2006/main" count="105" uniqueCount="56">
  <si>
    <t>Resolution</t>
  </si>
  <si>
    <t>Quality</t>
  </si>
  <si>
    <t>Max Bitrate</t>
  </si>
  <si>
    <t>FPS</t>
  </si>
  <si>
    <t>Bitrate (KB/sec)</t>
  </si>
  <si>
    <t>Bitrates = I-Frame Size + P-Frame Size * (fps-1)</t>
  </si>
  <si>
    <t>bps</t>
  </si>
  <si>
    <t>P-Frame Size = Max Bitrate - (I-Frame Size) / 29</t>
  </si>
  <si>
    <t>CIF</t>
  </si>
  <si>
    <t>HD1</t>
  </si>
  <si>
    <t>D1</t>
  </si>
  <si>
    <t>Normal</t>
  </si>
  <si>
    <t>High</t>
  </si>
  <si>
    <t>Super</t>
  </si>
  <si>
    <t>I-Frame(B)</t>
  </si>
  <si>
    <t>P-Frame(B)</t>
  </si>
  <si>
    <t>D1</t>
  </si>
  <si>
    <t>High</t>
  </si>
  <si>
    <t>Audio CH</t>
  </si>
  <si>
    <t>File Count</t>
  </si>
  <si>
    <t>1 hour</t>
  </si>
  <si>
    <t>mdx size</t>
  </si>
  <si>
    <t>ch 1</t>
  </si>
  <si>
    <t>ch 2</t>
  </si>
  <si>
    <t>Total</t>
  </si>
  <si>
    <t>VGA</t>
  </si>
  <si>
    <t>720P</t>
  </si>
  <si>
    <t>QVGA</t>
  </si>
  <si>
    <t>VGA</t>
  </si>
  <si>
    <t>720P</t>
  </si>
  <si>
    <t>REC Time</t>
  </si>
  <si>
    <t>REC Time[sec]</t>
  </si>
  <si>
    <t>Resolution</t>
  </si>
  <si>
    <t>Quality</t>
  </si>
  <si>
    <t>SD Size(GB)</t>
  </si>
  <si>
    <t>FPS</t>
  </si>
  <si>
    <t>Audio FPS</t>
  </si>
  <si>
    <t>file header</t>
  </si>
  <si>
    <t>rec sec</t>
  </si>
  <si>
    <t>video frame</t>
  </si>
  <si>
    <t>audio frame</t>
  </si>
  <si>
    <t>gsnr frame</t>
  </si>
  <si>
    <t>mdx</t>
  </si>
  <si>
    <t>mdt</t>
  </si>
  <si>
    <t>data header</t>
  </si>
  <si>
    <t>audio data</t>
  </si>
  <si>
    <t>gsnr data</t>
  </si>
  <si>
    <t>frame header</t>
  </si>
  <si>
    <t>Audio Data Size</t>
  </si>
  <si>
    <t>mdt size</t>
  </si>
  <si>
    <t>video1 data</t>
  </si>
  <si>
    <t>video2 data</t>
  </si>
  <si>
    <t>720P</t>
  </si>
  <si>
    <t>D1</t>
  </si>
  <si>
    <t>high</t>
  </si>
  <si>
    <t>Continuous Recording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</si>
</sst>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"/>
    <numFmt numFmtId="177" formatCode="0.0_ "/>
    <numFmt numFmtId="178" formatCode="#\ &quot;FPS/ch&quot;"/>
    <numFmt numFmtId="179" formatCode="#\ &quot;KB/sec&quot;"/>
    <numFmt numFmtId="180" formatCode="#\ &quot;KB&quot;"/>
    <numFmt numFmtId="181" formatCode="#"/>
    <numFmt numFmtId="182" formatCode="#\ &quot;MB&quot;"/>
    <numFmt numFmtId="183" formatCode="0.0_);[Red]\(0.0\)"/>
    <numFmt numFmtId="184" formatCode="#\ &quot;min&quot;"/>
    <numFmt numFmtId="185" formatCode="[$-412]yyyy&quot;년&quot;\ m&quot;월&quot;\ d&quot;일&quot;\ dddd"/>
    <numFmt numFmtId="186" formatCode="[$-412]AM/PM\ h:mm:ss"/>
    <numFmt numFmtId="187" formatCode="000\-000"/>
    <numFmt numFmtId="188" formatCode="#\ &quot;GB&quot;"/>
    <numFmt numFmtId="189" formatCode="#,###&quot;GB&quot;"/>
    <numFmt numFmtId="190" formatCode="0.0%\ &quot;GB&quot;"/>
    <numFmt numFmtId="191" formatCode="#,##0\ &quot;GB&quot;"/>
    <numFmt numFmtId="192" formatCode="#0.#0%\ &quot;GB&quot;"/>
    <numFmt numFmtId="193" formatCode="#0.0%\ &quot;GB&quot;"/>
    <numFmt numFmtId="194" formatCode="#\ &quot;hr&quot;"/>
    <numFmt numFmtId="195" formatCode="#\ &quot;B&quot;"/>
    <numFmt numFmtId="196" formatCode="#\ &quot;&quot;"/>
    <numFmt numFmtId="197" formatCode="#\ &quot;sec&quot;"/>
    <numFmt numFmtId="198" formatCode="#\ &quot;hour&quot;"/>
    <numFmt numFmtId="199" formatCode="#\ &quot;day&quot;"/>
    <numFmt numFmtId="200" formatCode="#\ &quot;week&quot;"/>
    <numFmt numFmtId="201" formatCode="#\ &quot;month&quot;"/>
    <numFmt numFmtId="202" formatCode="#\ &quot;year&quot;"/>
    <numFmt numFmtId="203" formatCode="0_);\(0\)"/>
    <numFmt numFmtId="204" formatCode="#,###\ &quot;GB&quot;"/>
    <numFmt numFmtId="205" formatCode="#0.0\ &quot;GB&quot;"/>
    <numFmt numFmtId="206" formatCode="#0.0\ &quot;KB&quot;"/>
    <numFmt numFmtId="207" formatCode="#0.0\ &quot;MB&quot;"/>
    <numFmt numFmtId="208" formatCode="#0.0\ &quot;TB&quot;"/>
    <numFmt numFmtId="209" formatCode="0\ &quot;hours&quot;"/>
    <numFmt numFmtId="210" formatCode="#0.0\ &quot;hour&quot;"/>
    <numFmt numFmtId="211" formatCode="0.0_);\(0.0\)"/>
    <numFmt numFmtId="212" formatCode="0.000000"/>
    <numFmt numFmtId="213" formatCode="0.0000000"/>
    <numFmt numFmtId="214" formatCode="0.00000"/>
    <numFmt numFmtId="215" formatCode="0.0000"/>
    <numFmt numFmtId="216" formatCode="0.000"/>
    <numFmt numFmtId="217" formatCode="0.0"/>
    <numFmt numFmtId="218" formatCode="[$-409]dddd\,\ mmmm\ d\,\ yyyy"/>
    <numFmt numFmtId="219" formatCode="[$-409]h:mm:ss\ AM/PM"/>
    <numFmt numFmtId="220" formatCode="[$-F400]h:mm:ss\ AM/PM"/>
  </numFmts>
  <fonts count="45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Segoe UI"/>
      <family val="2"/>
    </font>
    <font>
      <b/>
      <sz val="11"/>
      <name val="Segoe U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indexed="23"/>
      <name val="Segoe UI"/>
      <family val="2"/>
    </font>
    <font>
      <sz val="14"/>
      <color indexed="8"/>
      <name val="Segoe UI"/>
      <family val="0"/>
    </font>
    <font>
      <b/>
      <sz val="14"/>
      <color indexed="8"/>
      <name val="Segoe UI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0" tint="-0.4999699890613556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203" fontId="5" fillId="0" borderId="0" xfId="0" applyNumberFormat="1" applyFont="1" applyAlignment="1">
      <alignment horizontal="right" vertical="center"/>
    </xf>
    <xf numFmtId="203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206" fontId="5" fillId="0" borderId="0" xfId="0" applyNumberFormat="1" applyFont="1" applyBorder="1" applyAlignment="1">
      <alignment vertical="center"/>
    </xf>
    <xf numFmtId="205" fontId="5" fillId="0" borderId="0" xfId="0" applyNumberFormat="1" applyFont="1" applyBorder="1" applyAlignment="1">
      <alignment vertical="center"/>
    </xf>
    <xf numFmtId="20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03" fontId="5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center" vertical="center"/>
    </xf>
    <xf numFmtId="180" fontId="5" fillId="0" borderId="0" xfId="0" applyNumberFormat="1" applyFont="1" applyBorder="1" applyAlignment="1">
      <alignment vertical="center"/>
    </xf>
    <xf numFmtId="207" fontId="5" fillId="0" borderId="0" xfId="0" applyNumberFormat="1" applyFont="1" applyBorder="1" applyAlignment="1">
      <alignment vertical="center"/>
    </xf>
    <xf numFmtId="208" fontId="5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210" fontId="5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205" fontId="5" fillId="0" borderId="0" xfId="0" applyNumberFormat="1" applyFont="1" applyBorder="1" applyAlignment="1">
      <alignment horizontal="center" vertical="center"/>
    </xf>
    <xf numFmtId="206" fontId="5" fillId="0" borderId="0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 vertical="center"/>
    </xf>
    <xf numFmtId="205" fontId="5" fillId="0" borderId="0" xfId="0" applyNumberFormat="1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05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205" fontId="6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34" borderId="25" xfId="0" applyFont="1" applyFill="1" applyBorder="1" applyAlignment="1">
      <alignment horizontal="center" vertical="center"/>
    </xf>
    <xf numFmtId="206" fontId="6" fillId="0" borderId="16" xfId="0" applyNumberFormat="1" applyFont="1" applyBorder="1" applyAlignment="1">
      <alignment horizontal="right" vertical="center"/>
    </xf>
    <xf numFmtId="207" fontId="6" fillId="0" borderId="16" xfId="0" applyNumberFormat="1" applyFont="1" applyBorder="1" applyAlignment="1">
      <alignment horizontal="right" vertical="center"/>
    </xf>
    <xf numFmtId="0" fontId="6" fillId="34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06" fontId="6" fillId="0" borderId="24" xfId="0" applyNumberFormat="1" applyFont="1" applyBorder="1" applyAlignment="1">
      <alignment horizontal="right" vertical="center"/>
    </xf>
    <xf numFmtId="207" fontId="6" fillId="0" borderId="2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203" fontId="6" fillId="34" borderId="27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210" fontId="6" fillId="35" borderId="14" xfId="0" applyNumberFormat="1" applyFont="1" applyFill="1" applyBorder="1" applyAlignment="1">
      <alignment horizontal="right" vertical="center"/>
    </xf>
    <xf numFmtId="210" fontId="6" fillId="35" borderId="15" xfId="0" applyNumberFormat="1" applyFont="1" applyFill="1" applyBorder="1" applyAlignment="1">
      <alignment horizontal="right" vertical="center"/>
    </xf>
    <xf numFmtId="210" fontId="6" fillId="35" borderId="28" xfId="0" applyNumberFormat="1" applyFont="1" applyFill="1" applyBorder="1" applyAlignment="1">
      <alignment horizontal="right" vertical="center"/>
    </xf>
    <xf numFmtId="210" fontId="6" fillId="35" borderId="0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210" fontId="6" fillId="35" borderId="0" xfId="0" applyNumberFormat="1" applyFont="1" applyFill="1" applyBorder="1" applyAlignment="1">
      <alignment vertical="center"/>
    </xf>
    <xf numFmtId="210" fontId="6" fillId="35" borderId="13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vertical="center"/>
    </xf>
    <xf numFmtId="198" fontId="44" fillId="0" borderId="0" xfId="0" applyNumberFormat="1" applyFont="1" applyBorder="1" applyAlignment="1">
      <alignment horizontal="right" vertical="center"/>
    </xf>
    <xf numFmtId="0" fontId="44" fillId="0" borderId="0" xfId="0" applyNumberFormat="1" applyFont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Fill="1" applyAlignment="1">
      <alignment horizontal="right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79" fontId="44" fillId="0" borderId="16" xfId="0" applyNumberFormat="1" applyFont="1" applyBorder="1" applyAlignment="1">
      <alignment horizontal="center" vertical="center"/>
    </xf>
    <xf numFmtId="196" fontId="44" fillId="0" borderId="16" xfId="0" applyNumberFormat="1" applyFont="1" applyBorder="1" applyAlignment="1">
      <alignment horizontal="center" vertical="center"/>
    </xf>
    <xf numFmtId="196" fontId="44" fillId="0" borderId="36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179" fontId="44" fillId="0" borderId="24" xfId="0" applyNumberFormat="1" applyFont="1" applyBorder="1" applyAlignment="1">
      <alignment horizontal="center" vertical="center"/>
    </xf>
    <xf numFmtId="196" fontId="44" fillId="0" borderId="24" xfId="0" applyNumberFormat="1" applyFont="1" applyBorder="1" applyAlignment="1">
      <alignment horizontal="center" vertical="center"/>
    </xf>
    <xf numFmtId="196" fontId="44" fillId="0" borderId="38" xfId="0" applyNumberFormat="1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196" fontId="44" fillId="0" borderId="23" xfId="0" applyNumberFormat="1" applyFont="1" applyBorder="1" applyAlignment="1">
      <alignment horizontal="center" vertical="center"/>
    </xf>
    <xf numFmtId="196" fontId="44" fillId="0" borderId="40" xfId="0" applyNumberFormat="1" applyFont="1" applyBorder="1" applyAlignment="1">
      <alignment horizontal="center" vertical="center"/>
    </xf>
    <xf numFmtId="179" fontId="44" fillId="0" borderId="23" xfId="0" applyNumberFormat="1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179" fontId="44" fillId="0" borderId="42" xfId="0" applyNumberFormat="1" applyFont="1" applyBorder="1" applyAlignment="1">
      <alignment horizontal="center" vertical="center"/>
    </xf>
    <xf numFmtId="196" fontId="44" fillId="0" borderId="42" xfId="0" applyNumberFormat="1" applyFont="1" applyBorder="1" applyAlignment="1">
      <alignment horizontal="center" vertical="center"/>
    </xf>
    <xf numFmtId="196" fontId="44" fillId="0" borderId="43" xfId="0" applyNumberFormat="1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180" fontId="44" fillId="0" borderId="28" xfId="0" applyNumberFormat="1" applyFont="1" applyBorder="1" applyAlignment="1">
      <alignment horizontal="center" vertical="center"/>
    </xf>
    <xf numFmtId="176" fontId="44" fillId="0" borderId="38" xfId="0" applyNumberFormat="1" applyFont="1" applyBorder="1" applyAlignment="1">
      <alignment horizontal="center" vertical="center"/>
    </xf>
    <xf numFmtId="180" fontId="44" fillId="0" borderId="45" xfId="0" applyNumberFormat="1" applyFont="1" applyBorder="1" applyAlignment="1">
      <alignment horizontal="center" vertical="center"/>
    </xf>
    <xf numFmtId="176" fontId="44" fillId="0" borderId="32" xfId="0" applyNumberFormat="1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36" borderId="24" xfId="0" applyFont="1" applyFill="1" applyBorder="1" applyAlignment="1">
      <alignment horizontal="center" vertical="center"/>
    </xf>
    <xf numFmtId="176" fontId="44" fillId="36" borderId="38" xfId="0" applyNumberFormat="1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176" fontId="44" fillId="0" borderId="40" xfId="0" applyNumberFormat="1" applyFont="1" applyFill="1" applyBorder="1" applyAlignment="1">
      <alignment horizontal="center" vertical="center"/>
    </xf>
    <xf numFmtId="180" fontId="44" fillId="0" borderId="47" xfId="0" applyNumberFormat="1" applyFont="1" applyBorder="1" applyAlignment="1">
      <alignment horizontal="center" vertical="center"/>
    </xf>
    <xf numFmtId="176" fontId="44" fillId="0" borderId="40" xfId="0" applyNumberFormat="1" applyFont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180" fontId="44" fillId="0" borderId="16" xfId="0" applyNumberFormat="1" applyFont="1" applyFill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horizontal="center" vertical="center"/>
    </xf>
    <xf numFmtId="180" fontId="44" fillId="0" borderId="24" xfId="0" applyNumberFormat="1" applyFont="1" applyFill="1" applyBorder="1" applyAlignment="1">
      <alignment horizontal="center" vertical="center"/>
    </xf>
    <xf numFmtId="176" fontId="44" fillId="0" borderId="38" xfId="0" applyNumberFormat="1" applyFont="1" applyFill="1" applyBorder="1" applyAlignment="1">
      <alignment horizontal="center" vertical="center"/>
    </xf>
    <xf numFmtId="180" fontId="44" fillId="0" borderId="23" xfId="0" applyNumberFormat="1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180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/>
    </xf>
    <xf numFmtId="180" fontId="44" fillId="0" borderId="14" xfId="0" applyNumberFormat="1" applyFont="1" applyBorder="1" applyAlignment="1">
      <alignment horizontal="center" vertical="center"/>
    </xf>
    <xf numFmtId="176" fontId="44" fillId="0" borderId="36" xfId="0" applyNumberFormat="1" applyFont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203" fontId="44" fillId="0" borderId="49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206" fontId="44" fillId="0" borderId="0" xfId="0" applyNumberFormat="1" applyFont="1" applyBorder="1" applyAlignment="1">
      <alignment vertical="center"/>
    </xf>
    <xf numFmtId="205" fontId="44" fillId="0" borderId="0" xfId="0" applyNumberFormat="1" applyFont="1" applyBorder="1" applyAlignment="1">
      <alignment vertical="center"/>
    </xf>
    <xf numFmtId="208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208" fontId="44" fillId="0" borderId="0" xfId="0" applyNumberFormat="1" applyFont="1" applyFill="1" applyBorder="1" applyAlignment="1">
      <alignment vertical="center"/>
    </xf>
    <xf numFmtId="203" fontId="44" fillId="0" borderId="0" xfId="0" applyNumberFormat="1" applyFont="1" applyAlignment="1">
      <alignment horizontal="center" vertical="center"/>
    </xf>
    <xf numFmtId="180" fontId="44" fillId="0" borderId="0" xfId="0" applyNumberFormat="1" applyFont="1" applyBorder="1" applyAlignment="1">
      <alignment vertical="center"/>
    </xf>
    <xf numFmtId="207" fontId="44" fillId="0" borderId="0" xfId="0" applyNumberFormat="1" applyFont="1" applyBorder="1" applyAlignment="1">
      <alignment vertical="center"/>
    </xf>
    <xf numFmtId="203" fontId="44" fillId="0" borderId="0" xfId="0" applyNumberFormat="1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4" fillId="0" borderId="3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1</xdr:row>
      <xdr:rowOff>133350</xdr:rowOff>
    </xdr:from>
    <xdr:to>
      <xdr:col>24</xdr:col>
      <xdr:colOff>95250</xdr:colOff>
      <xdr:row>15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611475" y="352425"/>
          <a:ext cx="9810750" cy="2819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-All</a:t>
          </a:r>
          <a:r>
            <a:rPr lang="en-US" cap="none" sz="14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 Fields in Yellow can be edited
</a:t>
          </a:r>
          <a:r>
            <a:rPr lang="en-US" cap="none" sz="14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-If you're recording audio, change the "Audio CH" field value from 0 to 1
</a:t>
          </a:r>
          <a:r>
            <a:rPr lang="en-US" cap="none" sz="14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-"Quality" is related to bitrate. The lower the quality, the more compressed (lossy) the video output is.
</a:t>
          </a:r>
          <a:r>
            <a:rPr lang="en-US" cap="none" sz="14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-The grayed out text should not not be edited
</a:t>
          </a:r>
          <a:r>
            <a:rPr lang="en-US" cap="none" sz="14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-The Green fields will output the approximate recording time, based on the field values in yellow 
</a:t>
          </a:r>
          <a:r>
            <a:rPr lang="en-US" cap="none" sz="14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All times are estimates. Actual storage time may vary as there are several factors that determine video file size (primarily light and movement).
</a:t>
          </a:r>
          <a:r>
            <a:rPr lang="en-US" cap="none" sz="1400" b="1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Storage time is not related with cellular data bandwidth/usage.
</a:t>
          </a:r>
        </a:p>
      </xdr:txBody>
    </xdr:sp>
    <xdr:clientData/>
  </xdr:twoCellAnchor>
  <xdr:twoCellAnchor editAs="oneCell">
    <xdr:from>
      <xdr:col>21</xdr:col>
      <xdr:colOff>400050</xdr:colOff>
      <xdr:row>13</xdr:row>
      <xdr:rowOff>123825</xdr:rowOff>
    </xdr:from>
    <xdr:to>
      <xdr:col>23</xdr:col>
      <xdr:colOff>1009650</xdr:colOff>
      <xdr:row>15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762250"/>
          <a:ext cx="2486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6"/>
  <sheetViews>
    <sheetView tabSelected="1" zoomScale="75" zoomScaleNormal="75" zoomScalePageLayoutView="0" workbookViewId="0" topLeftCell="A1">
      <pane xSplit="11" ySplit="17" topLeftCell="U30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Y15" sqref="Y15"/>
    </sheetView>
  </sheetViews>
  <sheetFormatPr defaultColWidth="9.10546875" defaultRowHeight="13.5"/>
  <cols>
    <col min="1" max="2" width="9.10546875" style="1" customWidth="1"/>
    <col min="3" max="3" width="20.88671875" style="1" customWidth="1"/>
    <col min="4" max="4" width="14.88671875" style="1" customWidth="1"/>
    <col min="5" max="5" width="13.6640625" style="1" customWidth="1"/>
    <col min="6" max="6" width="9.3359375" style="1" customWidth="1"/>
    <col min="7" max="7" width="15.4453125" style="1" customWidth="1"/>
    <col min="8" max="8" width="9.10546875" style="1" customWidth="1"/>
    <col min="9" max="9" width="20.88671875" style="1" customWidth="1"/>
    <col min="10" max="10" width="14.88671875" style="1" customWidth="1"/>
    <col min="11" max="11" width="13.6640625" style="1" customWidth="1"/>
    <col min="12" max="12" width="9.99609375" style="1" customWidth="1"/>
    <col min="13" max="13" width="8.6640625" style="1" customWidth="1"/>
    <col min="14" max="14" width="10.4453125" style="1" customWidth="1"/>
    <col min="15" max="15" width="10.3359375" style="1" customWidth="1"/>
    <col min="16" max="16" width="11.6640625" style="1" bestFit="1" customWidth="1"/>
    <col min="17" max="17" width="11.10546875" style="1" customWidth="1"/>
    <col min="18" max="18" width="11.21484375" style="1" customWidth="1"/>
    <col min="19" max="19" width="11.4453125" style="1" customWidth="1"/>
    <col min="20" max="20" width="12.99609375" style="1" customWidth="1"/>
    <col min="21" max="21" width="12.21484375" style="1" customWidth="1"/>
    <col min="22" max="22" width="9.77734375" style="1" customWidth="1"/>
    <col min="23" max="23" width="12.10546875" style="1" customWidth="1"/>
    <col min="24" max="24" width="12.4453125" style="1" customWidth="1"/>
    <col min="25" max="25" width="15.3359375" style="1" customWidth="1"/>
    <col min="26" max="26" width="16.4453125" style="1" customWidth="1"/>
    <col min="27" max="33" width="9.88671875" style="1" customWidth="1"/>
    <col min="34" max="34" width="11.10546875" style="1" customWidth="1"/>
    <col min="35" max="35" width="12.77734375" style="1" customWidth="1"/>
    <col min="36" max="37" width="9.88671875" style="1" customWidth="1"/>
    <col min="38" max="38" width="9.88671875" style="3" customWidth="1"/>
    <col min="39" max="46" width="9.88671875" style="1" customWidth="1"/>
    <col min="47" max="47" width="12.4453125" style="1" customWidth="1"/>
    <col min="48" max="48" width="12.3359375" style="1" customWidth="1"/>
    <col min="49" max="16384" width="9.10546875" style="1" customWidth="1"/>
  </cols>
  <sheetData>
    <row r="1" spans="7:38" ht="17.25" thickBot="1">
      <c r="G1" s="125" t="s">
        <v>19</v>
      </c>
      <c r="H1" s="126">
        <f>H$4/600+1</f>
        <v>7</v>
      </c>
      <c r="AL1" s="1"/>
    </row>
    <row r="2" spans="7:38" ht="17.25" thickBot="1">
      <c r="G2" s="56" t="s">
        <v>18</v>
      </c>
      <c r="H2" s="57">
        <v>0</v>
      </c>
      <c r="AL2" s="1"/>
    </row>
    <row r="3" spans="1:38" ht="13.5" customHeight="1">
      <c r="A3" s="68"/>
      <c r="B3" s="68"/>
      <c r="C3" s="68"/>
      <c r="D3" s="68"/>
      <c r="E3" s="68"/>
      <c r="F3" s="68"/>
      <c r="G3" s="68" t="s">
        <v>30</v>
      </c>
      <c r="H3" s="69">
        <v>1</v>
      </c>
      <c r="I3" s="68"/>
      <c r="J3" s="68"/>
      <c r="K3" s="68"/>
      <c r="L3" s="2"/>
      <c r="AL3" s="1"/>
    </row>
    <row r="4" spans="1:38" ht="13.5" customHeight="1">
      <c r="A4" s="68"/>
      <c r="B4" s="68"/>
      <c r="C4" s="68"/>
      <c r="D4" s="68"/>
      <c r="E4" s="68"/>
      <c r="F4" s="68"/>
      <c r="G4" s="68" t="s">
        <v>31</v>
      </c>
      <c r="H4" s="70">
        <f>H3*60*60</f>
        <v>3600</v>
      </c>
      <c r="I4" s="68"/>
      <c r="J4" s="68"/>
      <c r="K4" s="68"/>
      <c r="L4" s="150"/>
      <c r="M4" s="145"/>
      <c r="N4" s="145"/>
      <c r="O4" s="145"/>
      <c r="P4" s="150"/>
      <c r="Q4" s="150"/>
      <c r="R4" s="145"/>
      <c r="S4" s="145"/>
      <c r="T4" s="145"/>
      <c r="U4" s="145"/>
      <c r="V4" s="145"/>
      <c r="AL4" s="1"/>
    </row>
    <row r="5" spans="1:38" ht="16.5">
      <c r="A5" s="68" t="s">
        <v>7</v>
      </c>
      <c r="B5" s="68"/>
      <c r="C5" s="68"/>
      <c r="D5" s="68"/>
      <c r="E5" s="71"/>
      <c r="F5" s="68"/>
      <c r="G5" s="68" t="s">
        <v>36</v>
      </c>
      <c r="H5" s="72">
        <v>10</v>
      </c>
      <c r="I5" s="68"/>
      <c r="J5" s="68"/>
      <c r="K5" s="71"/>
      <c r="L5" s="146"/>
      <c r="M5" s="146"/>
      <c r="N5" s="146"/>
      <c r="O5" s="146"/>
      <c r="P5" s="3"/>
      <c r="Q5" s="3"/>
      <c r="R5" s="150"/>
      <c r="S5" s="146"/>
      <c r="T5" s="150"/>
      <c r="U5" s="150"/>
      <c r="V5" s="150"/>
      <c r="AL5" s="1"/>
    </row>
    <row r="6" spans="1:38" ht="16.5">
      <c r="A6" s="71" t="s">
        <v>5</v>
      </c>
      <c r="B6" s="71"/>
      <c r="C6" s="71"/>
      <c r="D6" s="71"/>
      <c r="E6" s="71"/>
      <c r="F6" s="68"/>
      <c r="G6" s="71" t="s">
        <v>48</v>
      </c>
      <c r="H6" s="73">
        <v>800</v>
      </c>
      <c r="I6" s="71"/>
      <c r="J6" s="71"/>
      <c r="K6" s="71"/>
      <c r="L6" s="2"/>
      <c r="M6" s="4"/>
      <c r="N6" s="2"/>
      <c r="O6" s="2"/>
      <c r="P6" s="2"/>
      <c r="Q6" s="2"/>
      <c r="R6" s="2"/>
      <c r="S6" s="2"/>
      <c r="T6" s="2"/>
      <c r="U6" s="2"/>
      <c r="V6" s="2"/>
      <c r="AL6" s="1"/>
    </row>
    <row r="7" spans="1:38" ht="17.25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2"/>
      <c r="M7" s="2"/>
      <c r="N7" s="3"/>
      <c r="O7" s="3"/>
      <c r="P7" s="3"/>
      <c r="Q7" s="3"/>
      <c r="R7" s="3"/>
      <c r="S7" s="3"/>
      <c r="U7" s="3"/>
      <c r="V7" s="3"/>
      <c r="AL7" s="1"/>
    </row>
    <row r="8" spans="1:38" ht="13.5" customHeight="1">
      <c r="A8" s="74" t="s">
        <v>0</v>
      </c>
      <c r="B8" s="75" t="s">
        <v>1</v>
      </c>
      <c r="C8" s="75" t="s">
        <v>2</v>
      </c>
      <c r="D8" s="75" t="s">
        <v>14</v>
      </c>
      <c r="E8" s="76" t="s">
        <v>15</v>
      </c>
      <c r="F8" s="68"/>
      <c r="G8" s="77" t="s">
        <v>0</v>
      </c>
      <c r="H8" s="78" t="s">
        <v>1</v>
      </c>
      <c r="I8" s="75" t="s">
        <v>2</v>
      </c>
      <c r="J8" s="75" t="s">
        <v>14</v>
      </c>
      <c r="K8" s="76" t="s">
        <v>15</v>
      </c>
      <c r="L8" s="2"/>
      <c r="M8" s="2"/>
      <c r="N8" s="5"/>
      <c r="O8" s="3"/>
      <c r="P8" s="3"/>
      <c r="Q8" s="3"/>
      <c r="R8" s="3"/>
      <c r="S8" s="3"/>
      <c r="U8" s="2"/>
      <c r="V8" s="2"/>
      <c r="Y8" s="6"/>
      <c r="Z8" s="7"/>
      <c r="AA8" s="8"/>
      <c r="AB8" s="9"/>
      <c r="AC8" s="9"/>
      <c r="AD8" s="9"/>
      <c r="AE8" s="9"/>
      <c r="AF8" s="10"/>
      <c r="AG8" s="10"/>
      <c r="AH8" s="10"/>
      <c r="AI8" s="10"/>
      <c r="AJ8" s="10"/>
      <c r="AK8" s="10"/>
      <c r="AL8" s="11"/>
    </row>
    <row r="9" spans="1:38" ht="16.5">
      <c r="A9" s="79" t="s">
        <v>27</v>
      </c>
      <c r="B9" s="80" t="s">
        <v>11</v>
      </c>
      <c r="C9" s="81">
        <f>(D9+E9*(30-1))/1024</f>
        <v>38.4072265625</v>
      </c>
      <c r="D9" s="82">
        <v>7864</v>
      </c>
      <c r="E9" s="83">
        <v>1085</v>
      </c>
      <c r="F9" s="68"/>
      <c r="G9" s="84" t="s">
        <v>8</v>
      </c>
      <c r="H9" s="80" t="s">
        <v>11</v>
      </c>
      <c r="I9" s="81">
        <f>(J9+K9*(30-1))/1024</f>
        <v>38.4072265625</v>
      </c>
      <c r="J9" s="82">
        <v>7864</v>
      </c>
      <c r="K9" s="83">
        <v>1085</v>
      </c>
      <c r="L9" s="2"/>
      <c r="M9" s="2"/>
      <c r="U9" s="2"/>
      <c r="V9" s="2"/>
      <c r="Y9" s="6"/>
      <c r="Z9" s="7"/>
      <c r="AA9" s="8"/>
      <c r="AB9" s="9"/>
      <c r="AC9" s="9"/>
      <c r="AD9" s="9"/>
      <c r="AE9" s="9"/>
      <c r="AF9" s="10"/>
      <c r="AG9" s="10"/>
      <c r="AH9" s="10"/>
      <c r="AI9" s="10"/>
      <c r="AJ9" s="12"/>
      <c r="AK9" s="10"/>
      <c r="AL9" s="11"/>
    </row>
    <row r="10" spans="1:38" ht="16.5">
      <c r="A10" s="84"/>
      <c r="B10" s="85" t="s">
        <v>12</v>
      </c>
      <c r="C10" s="86">
        <f aca="true" t="shared" si="0" ref="C10:C17">(D10+E10*(30-1))/1024</f>
        <v>51.19140625</v>
      </c>
      <c r="D10" s="87">
        <v>10486</v>
      </c>
      <c r="E10" s="88">
        <v>1446</v>
      </c>
      <c r="F10" s="68"/>
      <c r="G10" s="84"/>
      <c r="H10" s="85" t="s">
        <v>12</v>
      </c>
      <c r="I10" s="86">
        <f aca="true" t="shared" si="1" ref="I10:I17">(J10+K10*(30-1))/1024</f>
        <v>51.19140625</v>
      </c>
      <c r="J10" s="87">
        <v>10486</v>
      </c>
      <c r="K10" s="88">
        <v>1446</v>
      </c>
      <c r="L10" s="2"/>
      <c r="M10" s="2"/>
      <c r="U10" s="2"/>
      <c r="V10" s="2"/>
      <c r="Y10" s="6"/>
      <c r="Z10" s="7"/>
      <c r="AA10" s="8"/>
      <c r="AB10" s="9"/>
      <c r="AC10" s="9"/>
      <c r="AD10" s="9"/>
      <c r="AE10" s="10"/>
      <c r="AF10" s="10"/>
      <c r="AG10" s="10"/>
      <c r="AH10" s="10"/>
      <c r="AI10" s="10"/>
      <c r="AJ10" s="12"/>
      <c r="AK10" s="10"/>
      <c r="AL10" s="11"/>
    </row>
    <row r="11" spans="1:38" ht="16.5">
      <c r="A11" s="89"/>
      <c r="B11" s="90" t="s">
        <v>13</v>
      </c>
      <c r="C11" s="86">
        <f t="shared" si="0"/>
        <v>64.0029296875</v>
      </c>
      <c r="D11" s="91">
        <v>13107</v>
      </c>
      <c r="E11" s="92">
        <v>1808</v>
      </c>
      <c r="F11" s="68"/>
      <c r="G11" s="89"/>
      <c r="H11" s="90" t="s">
        <v>13</v>
      </c>
      <c r="I11" s="86">
        <f t="shared" si="1"/>
        <v>64.0029296875</v>
      </c>
      <c r="J11" s="91">
        <v>13107</v>
      </c>
      <c r="K11" s="92">
        <v>1808</v>
      </c>
      <c r="L11" s="2"/>
      <c r="M11" s="2"/>
      <c r="N11" s="2"/>
      <c r="O11" s="2"/>
      <c r="P11" s="13"/>
      <c r="Q11" s="13"/>
      <c r="R11" s="13"/>
      <c r="S11" s="13"/>
      <c r="T11" s="14"/>
      <c r="U11" s="13"/>
      <c r="V11" s="13"/>
      <c r="Y11" s="6"/>
      <c r="Z11" s="7"/>
      <c r="AA11" s="15"/>
      <c r="AB11" s="9"/>
      <c r="AC11" s="9"/>
      <c r="AD11" s="9"/>
      <c r="AE11" s="9"/>
      <c r="AF11" s="9"/>
      <c r="AG11" s="9"/>
      <c r="AH11" s="9"/>
      <c r="AI11" s="9"/>
      <c r="AJ11" s="12"/>
      <c r="AK11" s="9"/>
      <c r="AL11" s="11"/>
    </row>
    <row r="12" spans="1:38" ht="16.5">
      <c r="A12" s="79" t="s">
        <v>25</v>
      </c>
      <c r="B12" s="80" t="s">
        <v>11</v>
      </c>
      <c r="C12" s="81">
        <f t="shared" si="0"/>
        <v>128.005859375</v>
      </c>
      <c r="D12" s="82">
        <v>26214</v>
      </c>
      <c r="E12" s="83">
        <v>3616</v>
      </c>
      <c r="F12" s="68"/>
      <c r="G12" s="79" t="s">
        <v>9</v>
      </c>
      <c r="H12" s="80" t="s">
        <v>11</v>
      </c>
      <c r="I12" s="81">
        <f t="shared" si="1"/>
        <v>76.787109375</v>
      </c>
      <c r="J12" s="82">
        <v>15729</v>
      </c>
      <c r="K12" s="83">
        <v>2169</v>
      </c>
      <c r="L12" s="2"/>
      <c r="M12" s="2"/>
      <c r="N12" s="2"/>
      <c r="O12" s="2"/>
      <c r="P12" s="13"/>
      <c r="Q12" s="13"/>
      <c r="R12" s="13"/>
      <c r="S12" s="13"/>
      <c r="T12" s="14"/>
      <c r="U12" s="13"/>
      <c r="V12" s="13"/>
      <c r="Y12" s="6"/>
      <c r="Z12" s="7"/>
      <c r="AA12" s="8"/>
      <c r="AB12" s="9"/>
      <c r="AC12" s="9"/>
      <c r="AD12" s="9"/>
      <c r="AE12" s="9"/>
      <c r="AF12" s="9"/>
      <c r="AG12" s="10"/>
      <c r="AH12" s="10"/>
      <c r="AI12" s="10"/>
      <c r="AJ12" s="12"/>
      <c r="AK12" s="10"/>
      <c r="AL12" s="11"/>
    </row>
    <row r="13" spans="1:38" ht="16.5">
      <c r="A13" s="84"/>
      <c r="B13" s="85" t="s">
        <v>12</v>
      </c>
      <c r="C13" s="86">
        <f t="shared" si="0"/>
        <v>192.009765625</v>
      </c>
      <c r="D13" s="87">
        <v>39322</v>
      </c>
      <c r="E13" s="88">
        <v>5424</v>
      </c>
      <c r="F13" s="68"/>
      <c r="G13" s="84"/>
      <c r="H13" s="85" t="s">
        <v>12</v>
      </c>
      <c r="I13" s="86">
        <f t="shared" si="1"/>
        <v>102.4111328125</v>
      </c>
      <c r="J13" s="87">
        <v>20972</v>
      </c>
      <c r="K13" s="88">
        <v>2893</v>
      </c>
      <c r="L13" s="2"/>
      <c r="M13" s="2"/>
      <c r="N13" s="2"/>
      <c r="O13" s="2"/>
      <c r="P13" s="13"/>
      <c r="Q13" s="13"/>
      <c r="R13" s="13"/>
      <c r="S13" s="13"/>
      <c r="T13" s="14"/>
      <c r="U13" s="13"/>
      <c r="V13" s="13"/>
      <c r="Y13" s="6"/>
      <c r="Z13" s="7"/>
      <c r="AA13" s="8"/>
      <c r="AB13" s="9"/>
      <c r="AC13" s="9"/>
      <c r="AD13" s="9"/>
      <c r="AE13" s="9"/>
      <c r="AF13" s="9"/>
      <c r="AG13" s="10"/>
      <c r="AH13" s="10"/>
      <c r="AI13" s="10"/>
      <c r="AJ13" s="12"/>
      <c r="AK13" s="10"/>
      <c r="AL13" s="11"/>
    </row>
    <row r="14" spans="1:38" ht="16.5">
      <c r="A14" s="89"/>
      <c r="B14" s="90" t="s">
        <v>13</v>
      </c>
      <c r="C14" s="93">
        <f t="shared" si="0"/>
        <v>256.0126953125</v>
      </c>
      <c r="D14" s="91">
        <v>52429</v>
      </c>
      <c r="E14" s="92">
        <v>7232</v>
      </c>
      <c r="F14" s="68"/>
      <c r="G14" s="89"/>
      <c r="H14" s="90" t="s">
        <v>13</v>
      </c>
      <c r="I14" s="93">
        <f t="shared" si="1"/>
        <v>128.005859375</v>
      </c>
      <c r="J14" s="91">
        <v>26214</v>
      </c>
      <c r="K14" s="92">
        <v>3616</v>
      </c>
      <c r="L14" s="2"/>
      <c r="M14" s="2"/>
      <c r="N14" s="2"/>
      <c r="O14" s="2"/>
      <c r="P14" s="2"/>
      <c r="Q14" s="2"/>
      <c r="R14" s="2"/>
      <c r="S14" s="13"/>
      <c r="T14" s="14"/>
      <c r="U14" s="13"/>
      <c r="V14" s="13"/>
      <c r="Y14" s="6"/>
      <c r="Z14" s="7"/>
      <c r="AA14" s="8"/>
      <c r="AB14" s="9"/>
      <c r="AC14" s="9"/>
      <c r="AD14" s="9"/>
      <c r="AE14" s="9"/>
      <c r="AF14" s="9"/>
      <c r="AG14" s="10"/>
      <c r="AH14" s="10"/>
      <c r="AI14" s="10"/>
      <c r="AJ14" s="12"/>
      <c r="AK14" s="10"/>
      <c r="AL14" s="11"/>
    </row>
    <row r="15" spans="1:38" ht="16.5">
      <c r="A15" s="84" t="s">
        <v>26</v>
      </c>
      <c r="B15" s="85" t="s">
        <v>11</v>
      </c>
      <c r="C15" s="86">
        <f t="shared" si="0"/>
        <v>383.990234375</v>
      </c>
      <c r="D15" s="87">
        <v>78643</v>
      </c>
      <c r="E15" s="88">
        <v>10847</v>
      </c>
      <c r="F15" s="68"/>
      <c r="G15" s="84" t="s">
        <v>10</v>
      </c>
      <c r="H15" s="85" t="s">
        <v>11</v>
      </c>
      <c r="I15" s="86">
        <f t="shared" si="1"/>
        <v>128.005859375</v>
      </c>
      <c r="J15" s="87">
        <v>26214</v>
      </c>
      <c r="K15" s="88">
        <v>3616</v>
      </c>
      <c r="L15" s="2"/>
      <c r="M15" s="2"/>
      <c r="N15" s="2"/>
      <c r="O15" s="2"/>
      <c r="P15" s="2"/>
      <c r="Q15" s="2"/>
      <c r="R15" s="2"/>
      <c r="S15" s="13"/>
      <c r="T15" s="14"/>
      <c r="U15" s="13"/>
      <c r="V15" s="13"/>
      <c r="Y15" s="6"/>
      <c r="Z15" s="7"/>
      <c r="AA15" s="15"/>
      <c r="AB15" s="9"/>
      <c r="AC15" s="9"/>
      <c r="AD15" s="9"/>
      <c r="AE15" s="9"/>
      <c r="AF15" s="9"/>
      <c r="AG15" s="9"/>
      <c r="AH15" s="9"/>
      <c r="AI15" s="9"/>
      <c r="AJ15" s="12"/>
      <c r="AK15" s="9"/>
      <c r="AL15" s="11"/>
    </row>
    <row r="16" spans="1:38" ht="16.5">
      <c r="A16" s="84"/>
      <c r="B16" s="85" t="s">
        <v>12</v>
      </c>
      <c r="C16" s="86">
        <f t="shared" si="0"/>
        <v>511.9970703125</v>
      </c>
      <c r="D16" s="87">
        <v>104858</v>
      </c>
      <c r="E16" s="88">
        <v>14463</v>
      </c>
      <c r="F16" s="68"/>
      <c r="G16" s="84"/>
      <c r="H16" s="85" t="s">
        <v>12</v>
      </c>
      <c r="I16" s="86">
        <f t="shared" si="1"/>
        <v>192.009765625</v>
      </c>
      <c r="J16" s="87">
        <v>39322</v>
      </c>
      <c r="K16" s="88">
        <v>5424</v>
      </c>
      <c r="L16" s="2"/>
      <c r="M16" s="2"/>
      <c r="N16" s="2"/>
      <c r="O16" s="2"/>
      <c r="P16" s="13"/>
      <c r="Q16" s="13"/>
      <c r="R16" s="13"/>
      <c r="S16" s="13"/>
      <c r="T16" s="14"/>
      <c r="U16" s="13"/>
      <c r="V16" s="13"/>
      <c r="Y16" s="6"/>
      <c r="Z16" s="7"/>
      <c r="AA16" s="8"/>
      <c r="AB16" s="9"/>
      <c r="AC16" s="9"/>
      <c r="AD16" s="9"/>
      <c r="AE16" s="9"/>
      <c r="AF16" s="9"/>
      <c r="AG16" s="10"/>
      <c r="AH16" s="10"/>
      <c r="AI16" s="10"/>
      <c r="AJ16" s="12"/>
      <c r="AK16" s="10"/>
      <c r="AL16" s="11"/>
    </row>
    <row r="17" spans="1:38" ht="17.25" thickBot="1">
      <c r="A17" s="94"/>
      <c r="B17" s="95" t="s">
        <v>13</v>
      </c>
      <c r="C17" s="96">
        <f t="shared" si="0"/>
        <v>640.0029296875</v>
      </c>
      <c r="D17" s="97">
        <v>131072</v>
      </c>
      <c r="E17" s="98">
        <v>18079</v>
      </c>
      <c r="F17" s="68"/>
      <c r="G17" s="94"/>
      <c r="H17" s="95" t="s">
        <v>13</v>
      </c>
      <c r="I17" s="96">
        <f t="shared" si="1"/>
        <v>256.0126953125</v>
      </c>
      <c r="J17" s="97">
        <v>52429</v>
      </c>
      <c r="K17" s="98">
        <v>7232</v>
      </c>
      <c r="L17" s="2"/>
      <c r="M17" s="2"/>
      <c r="N17" s="2"/>
      <c r="O17" s="2"/>
      <c r="P17" s="13"/>
      <c r="Q17" s="13"/>
      <c r="R17" s="13"/>
      <c r="S17" s="13"/>
      <c r="T17" s="14"/>
      <c r="U17" s="13"/>
      <c r="V17" s="13"/>
      <c r="Y17" s="6"/>
      <c r="Z17" s="7"/>
      <c r="AA17" s="8"/>
      <c r="AB17" s="9"/>
      <c r="AC17" s="9"/>
      <c r="AD17" s="9"/>
      <c r="AE17" s="9"/>
      <c r="AF17" s="9"/>
      <c r="AG17" s="10"/>
      <c r="AH17" s="10"/>
      <c r="AI17" s="10"/>
      <c r="AJ17" s="12"/>
      <c r="AK17" s="10"/>
      <c r="AL17" s="11"/>
    </row>
    <row r="18" spans="1:38" ht="17.25" thickBo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2"/>
      <c r="M18" s="2"/>
      <c r="N18" s="2"/>
      <c r="O18" s="2"/>
      <c r="P18" s="13"/>
      <c r="Q18" s="13"/>
      <c r="R18" s="13"/>
      <c r="S18" s="13"/>
      <c r="T18" s="14"/>
      <c r="U18" s="13"/>
      <c r="V18" s="13"/>
      <c r="Y18" s="6"/>
      <c r="Z18" s="7"/>
      <c r="AA18" s="8"/>
      <c r="AB18" s="9"/>
      <c r="AC18" s="9"/>
      <c r="AD18" s="9"/>
      <c r="AE18" s="9"/>
      <c r="AF18" s="9"/>
      <c r="AG18" s="10"/>
      <c r="AH18" s="10"/>
      <c r="AI18" s="10"/>
      <c r="AJ18" s="10"/>
      <c r="AK18" s="10"/>
      <c r="AL18" s="11"/>
    </row>
    <row r="19" spans="1:38" ht="16.5">
      <c r="A19" s="138" t="s">
        <v>0</v>
      </c>
      <c r="B19" s="140" t="s">
        <v>1</v>
      </c>
      <c r="C19" s="142" t="s">
        <v>3</v>
      </c>
      <c r="D19" s="143" t="s">
        <v>4</v>
      </c>
      <c r="E19" s="147" t="s">
        <v>6</v>
      </c>
      <c r="F19" s="68"/>
      <c r="G19" s="138" t="s">
        <v>0</v>
      </c>
      <c r="H19" s="140" t="s">
        <v>1</v>
      </c>
      <c r="I19" s="142" t="s">
        <v>3</v>
      </c>
      <c r="J19" s="143" t="s">
        <v>4</v>
      </c>
      <c r="K19" s="147" t="s">
        <v>6</v>
      </c>
      <c r="L19" s="2"/>
      <c r="M19" s="2"/>
      <c r="N19" s="2"/>
      <c r="O19" s="2"/>
      <c r="P19" s="2"/>
      <c r="Q19" s="2"/>
      <c r="R19" s="2"/>
      <c r="S19" s="13"/>
      <c r="T19" s="14"/>
      <c r="U19" s="13"/>
      <c r="V19" s="13"/>
      <c r="Y19" s="6"/>
      <c r="Z19" s="7"/>
      <c r="AA19" s="15"/>
      <c r="AB19" s="16"/>
      <c r="AC19" s="9"/>
      <c r="AD19" s="9"/>
      <c r="AE19" s="9"/>
      <c r="AF19" s="9"/>
      <c r="AG19" s="9"/>
      <c r="AH19" s="9"/>
      <c r="AI19" s="9"/>
      <c r="AJ19" s="9"/>
      <c r="AK19" s="9"/>
      <c r="AL19" s="11"/>
    </row>
    <row r="20" spans="1:38" ht="17.25" thickBot="1">
      <c r="A20" s="139"/>
      <c r="B20" s="141"/>
      <c r="C20" s="141"/>
      <c r="D20" s="144"/>
      <c r="E20" s="148"/>
      <c r="F20" s="68"/>
      <c r="G20" s="139"/>
      <c r="H20" s="141"/>
      <c r="I20" s="141"/>
      <c r="J20" s="149"/>
      <c r="K20" s="151"/>
      <c r="L20" s="2"/>
      <c r="M20" s="2"/>
      <c r="N20" s="2"/>
      <c r="O20" s="2"/>
      <c r="P20" s="2"/>
      <c r="Q20" s="2"/>
      <c r="R20" s="2"/>
      <c r="S20" s="13"/>
      <c r="T20" s="14"/>
      <c r="U20" s="13"/>
      <c r="V20" s="13"/>
      <c r="Y20" s="6"/>
      <c r="Z20" s="127"/>
      <c r="AA20" s="128" t="s">
        <v>42</v>
      </c>
      <c r="AB20" s="129"/>
      <c r="AC20" s="129"/>
      <c r="AD20" s="129"/>
      <c r="AE20" s="129"/>
      <c r="AF20" s="129"/>
      <c r="AG20" s="130" t="s">
        <v>43</v>
      </c>
      <c r="AH20" s="130"/>
      <c r="AI20" s="130"/>
      <c r="AJ20" s="130"/>
      <c r="AK20" s="130"/>
      <c r="AL20" s="131"/>
    </row>
    <row r="21" spans="1:39" ht="16.5">
      <c r="A21" s="99" t="s">
        <v>27</v>
      </c>
      <c r="B21" s="100" t="s">
        <v>11</v>
      </c>
      <c r="C21" s="85">
        <v>30</v>
      </c>
      <c r="D21" s="101">
        <f aca="true" t="shared" si="2" ref="D21:D29">($D$9+$E$9*($C21-1))/1024</f>
        <v>38.4072265625</v>
      </c>
      <c r="E21" s="102">
        <f aca="true" t="shared" si="3" ref="E21:E99">D21*1024*8</f>
        <v>314632</v>
      </c>
      <c r="F21" s="68"/>
      <c r="G21" s="99" t="s">
        <v>8</v>
      </c>
      <c r="H21" s="100" t="s">
        <v>11</v>
      </c>
      <c r="I21" s="85">
        <v>30</v>
      </c>
      <c r="J21" s="103">
        <f>($J$9+$K$9*($I21-1))/1024</f>
        <v>38.4072265625</v>
      </c>
      <c r="K21" s="104">
        <f aca="true" t="shared" si="4" ref="K21:K47">J21*1024*8</f>
        <v>314632</v>
      </c>
      <c r="L21" s="2"/>
      <c r="M21" s="2"/>
      <c r="N21" s="27"/>
      <c r="O21" s="31" t="s">
        <v>55</v>
      </c>
      <c r="P21" s="28"/>
      <c r="Q21" s="28"/>
      <c r="R21" s="152" t="s">
        <v>20</v>
      </c>
      <c r="S21" s="153"/>
      <c r="T21" s="158" t="s">
        <v>34</v>
      </c>
      <c r="U21" s="159"/>
      <c r="V21" s="159"/>
      <c r="W21" s="159"/>
      <c r="X21" s="159"/>
      <c r="Y21" s="160"/>
      <c r="Z21" s="132" t="s">
        <v>37</v>
      </c>
      <c r="AA21" s="132" t="s">
        <v>38</v>
      </c>
      <c r="AB21" s="132" t="s">
        <v>39</v>
      </c>
      <c r="AC21" s="132" t="s">
        <v>40</v>
      </c>
      <c r="AD21" s="132" t="s">
        <v>41</v>
      </c>
      <c r="AE21" s="129"/>
      <c r="AF21" s="130" t="s">
        <v>37</v>
      </c>
      <c r="AG21" s="130" t="s">
        <v>44</v>
      </c>
      <c r="AH21" s="130" t="s">
        <v>47</v>
      </c>
      <c r="AI21" s="130" t="s">
        <v>50</v>
      </c>
      <c r="AJ21" s="130" t="s">
        <v>51</v>
      </c>
      <c r="AK21" s="131" t="s">
        <v>45</v>
      </c>
      <c r="AL21" s="133" t="s">
        <v>46</v>
      </c>
      <c r="AM21" s="17"/>
    </row>
    <row r="22" spans="1:38" ht="17.25" thickBot="1">
      <c r="A22" s="105"/>
      <c r="B22" s="100"/>
      <c r="C22" s="85"/>
      <c r="D22" s="101"/>
      <c r="E22" s="102"/>
      <c r="F22" s="68"/>
      <c r="G22" s="105"/>
      <c r="H22" s="100"/>
      <c r="I22" s="85">
        <v>25</v>
      </c>
      <c r="J22" s="101">
        <f aca="true" t="shared" si="5" ref="J22:J29">($J$9+$K$9*($I22-1))/1024</f>
        <v>33.109375</v>
      </c>
      <c r="K22" s="102">
        <f t="shared" si="4"/>
        <v>271232</v>
      </c>
      <c r="L22" s="2"/>
      <c r="M22" s="2"/>
      <c r="N22" s="30"/>
      <c r="O22" s="31" t="s">
        <v>22</v>
      </c>
      <c r="P22" s="30" t="s">
        <v>23</v>
      </c>
      <c r="Q22" s="32" t="s">
        <v>24</v>
      </c>
      <c r="R22" s="33" t="s">
        <v>21</v>
      </c>
      <c r="S22" s="34" t="s">
        <v>49</v>
      </c>
      <c r="T22" s="32">
        <v>4</v>
      </c>
      <c r="U22" s="32">
        <v>8</v>
      </c>
      <c r="V22" s="32">
        <v>16</v>
      </c>
      <c r="W22" s="32">
        <v>32</v>
      </c>
      <c r="X22" s="32">
        <v>64</v>
      </c>
      <c r="Y22" s="35">
        <v>128</v>
      </c>
      <c r="Z22" s="134"/>
      <c r="AA22" s="132"/>
      <c r="AB22" s="132"/>
      <c r="AC22" s="132"/>
      <c r="AD22" s="132"/>
      <c r="AE22" s="129"/>
      <c r="AF22" s="130"/>
      <c r="AG22" s="130"/>
      <c r="AH22" s="130"/>
      <c r="AI22" s="130"/>
      <c r="AJ22" s="130"/>
      <c r="AK22" s="131"/>
      <c r="AL22" s="68"/>
    </row>
    <row r="23" spans="1:38" ht="17.25" thickBot="1">
      <c r="A23" s="105"/>
      <c r="B23" s="85"/>
      <c r="C23" s="85">
        <v>15</v>
      </c>
      <c r="D23" s="101">
        <f t="shared" si="2"/>
        <v>22.513671875</v>
      </c>
      <c r="E23" s="102">
        <f t="shared" si="3"/>
        <v>184432</v>
      </c>
      <c r="F23" s="68"/>
      <c r="G23" s="105"/>
      <c r="H23" s="85"/>
      <c r="I23" s="85">
        <v>15</v>
      </c>
      <c r="J23" s="101">
        <f t="shared" si="5"/>
        <v>22.513671875</v>
      </c>
      <c r="K23" s="102">
        <f t="shared" si="4"/>
        <v>184432</v>
      </c>
      <c r="L23" s="2"/>
      <c r="M23" s="2"/>
      <c r="N23" s="36" t="s">
        <v>32</v>
      </c>
      <c r="O23" s="37" t="s">
        <v>52</v>
      </c>
      <c r="P23" s="38" t="s">
        <v>53</v>
      </c>
      <c r="Q23" s="28"/>
      <c r="R23" s="30"/>
      <c r="S23" s="39"/>
      <c r="T23" s="28"/>
      <c r="U23" s="28"/>
      <c r="V23" s="28"/>
      <c r="W23" s="28"/>
      <c r="X23" s="6"/>
      <c r="Y23" s="18"/>
      <c r="Z23" s="128"/>
      <c r="AA23" s="129"/>
      <c r="AB23" s="129"/>
      <c r="AC23" s="129"/>
      <c r="AD23" s="129"/>
      <c r="AE23" s="129"/>
      <c r="AF23" s="130"/>
      <c r="AG23" s="130"/>
      <c r="AH23" s="130"/>
      <c r="AI23" s="130"/>
      <c r="AJ23" s="130"/>
      <c r="AK23" s="131"/>
      <c r="AL23" s="68"/>
    </row>
    <row r="24" spans="1:38" ht="17.25" thickBot="1">
      <c r="A24" s="105"/>
      <c r="B24" s="85"/>
      <c r="C24" s="106">
        <v>10</v>
      </c>
      <c r="D24" s="101">
        <f t="shared" si="2"/>
        <v>17.2158203125</v>
      </c>
      <c r="E24" s="107">
        <f t="shared" si="3"/>
        <v>141032</v>
      </c>
      <c r="F24" s="68"/>
      <c r="G24" s="105"/>
      <c r="H24" s="85"/>
      <c r="I24" s="106">
        <v>10</v>
      </c>
      <c r="J24" s="101">
        <f t="shared" si="5"/>
        <v>17.2158203125</v>
      </c>
      <c r="K24" s="102">
        <f t="shared" si="4"/>
        <v>141032</v>
      </c>
      <c r="L24" s="2"/>
      <c r="M24" s="2"/>
      <c r="N24" s="36" t="s">
        <v>33</v>
      </c>
      <c r="O24" s="37" t="s">
        <v>54</v>
      </c>
      <c r="P24" s="38" t="s">
        <v>54</v>
      </c>
      <c r="Q24" s="40"/>
      <c r="R24" s="41"/>
      <c r="S24" s="41"/>
      <c r="T24" s="40"/>
      <c r="U24" s="40"/>
      <c r="V24" s="40"/>
      <c r="W24" s="40"/>
      <c r="X24" s="6"/>
      <c r="Y24" s="58"/>
      <c r="Z24" s="135"/>
      <c r="AA24" s="136"/>
      <c r="AB24" s="129"/>
      <c r="AC24" s="129"/>
      <c r="AD24" s="129"/>
      <c r="AE24" s="129"/>
      <c r="AF24" s="129"/>
      <c r="AG24" s="129"/>
      <c r="AH24" s="129"/>
      <c r="AI24" s="129"/>
      <c r="AJ24" s="129"/>
      <c r="AK24" s="131"/>
      <c r="AL24" s="68"/>
    </row>
    <row r="25" spans="1:38" ht="17.25" thickBot="1">
      <c r="A25" s="105"/>
      <c r="B25" s="85"/>
      <c r="C25" s="106">
        <v>5</v>
      </c>
      <c r="D25" s="101">
        <f t="shared" si="2"/>
        <v>11.91796875</v>
      </c>
      <c r="E25" s="107">
        <f t="shared" si="3"/>
        <v>97632</v>
      </c>
      <c r="F25" s="68"/>
      <c r="G25" s="105"/>
      <c r="H25" s="85"/>
      <c r="I25" s="106">
        <v>5</v>
      </c>
      <c r="J25" s="101">
        <f t="shared" si="5"/>
        <v>11.91796875</v>
      </c>
      <c r="K25" s="102">
        <f t="shared" si="4"/>
        <v>97632</v>
      </c>
      <c r="L25" s="2"/>
      <c r="M25" s="2"/>
      <c r="N25" s="42"/>
      <c r="O25" s="43"/>
      <c r="P25" s="44"/>
      <c r="Q25" s="45"/>
      <c r="R25" s="46"/>
      <c r="S25" s="46"/>
      <c r="T25" s="59"/>
      <c r="U25" s="32"/>
      <c r="V25" s="32"/>
      <c r="W25" s="32"/>
      <c r="X25" s="32"/>
      <c r="Y25" s="35"/>
      <c r="Z25" s="128"/>
      <c r="AA25" s="129"/>
      <c r="AB25" s="129"/>
      <c r="AC25" s="129"/>
      <c r="AD25" s="129"/>
      <c r="AE25" s="129"/>
      <c r="AF25" s="130"/>
      <c r="AG25" s="130"/>
      <c r="AH25" s="130"/>
      <c r="AI25" s="130"/>
      <c r="AJ25" s="130"/>
      <c r="AK25" s="131"/>
      <c r="AL25" s="68"/>
    </row>
    <row r="26" spans="1:38" ht="16.5">
      <c r="A26" s="105"/>
      <c r="B26" s="85"/>
      <c r="C26" s="106">
        <v>4</v>
      </c>
      <c r="D26" s="101">
        <f t="shared" si="2"/>
        <v>10.8583984375</v>
      </c>
      <c r="E26" s="107">
        <f t="shared" si="3"/>
        <v>88952</v>
      </c>
      <c r="F26" s="68"/>
      <c r="G26" s="105"/>
      <c r="H26" s="85"/>
      <c r="I26" s="106">
        <v>4</v>
      </c>
      <c r="J26" s="101">
        <f t="shared" si="5"/>
        <v>10.8583984375</v>
      </c>
      <c r="K26" s="102">
        <f t="shared" si="4"/>
        <v>88952</v>
      </c>
      <c r="L26" s="2"/>
      <c r="M26" s="2"/>
      <c r="N26" s="154" t="s">
        <v>35</v>
      </c>
      <c r="O26" s="47">
        <v>30</v>
      </c>
      <c r="P26" s="47">
        <v>0</v>
      </c>
      <c r="Q26" s="29">
        <f>SUM(O26:P26)</f>
        <v>30</v>
      </c>
      <c r="R26" s="48">
        <f>(Z26+AA26*(AB26+AC26+AD26))/1024</f>
        <v>17276.02734375</v>
      </c>
      <c r="S26" s="49">
        <f>(AF26+AG26+AA26*(AH26+AI26+AJ26+AK26+AL26))/(1024*1024)</f>
        <v>1846.5529947280884</v>
      </c>
      <c r="T26" s="60">
        <f>IF((($T$22*1024)/($S26+$R26/1024))&lt;167,(($T$22*1024)/($S26+$R26/1024)),167)</f>
        <v>2.1981039993153737</v>
      </c>
      <c r="U26" s="61">
        <f>IF((($U$22*1024)/($S26+$R26/1024))&lt;167,(($U$22*1024)/($S26+$R26/1024)),167)</f>
        <v>4.396207998630747</v>
      </c>
      <c r="V26" s="61">
        <f>IF((($V$22*1024)/($S26+$R26/1024))&lt;167,(($V$22*1024)/($S26+$R26/1024)),167)</f>
        <v>8.792415997261495</v>
      </c>
      <c r="W26" s="61">
        <f>IF((($W$22*1024)/($S26+$R26/1024))&lt;167,(($W$22*1024)/($S26+$R26/1024)),167)</f>
        <v>17.58483199452299</v>
      </c>
      <c r="X26" s="66">
        <f>IF(W26*2&lt;167,W26*2,167)</f>
        <v>35.16966398904598</v>
      </c>
      <c r="Y26" s="67">
        <f>IF(X26*2&lt;167,X26*2,167)</f>
        <v>70.33932797809196</v>
      </c>
      <c r="Z26" s="134">
        <f>$H$1*36</f>
        <v>252</v>
      </c>
      <c r="AA26" s="132">
        <f>$H$4</f>
        <v>3600</v>
      </c>
      <c r="AB26" s="132">
        <f>Q26*117</f>
        <v>3510</v>
      </c>
      <c r="AC26" s="132">
        <f>$H$5*117*$H$2</f>
        <v>0</v>
      </c>
      <c r="AD26" s="132">
        <f>117*12</f>
        <v>1404</v>
      </c>
      <c r="AE26" s="129"/>
      <c r="AF26" s="137">
        <f>Z26</f>
        <v>252</v>
      </c>
      <c r="AG26" s="137">
        <f>$H$1*243</f>
        <v>1701</v>
      </c>
      <c r="AH26" s="137">
        <f>SUM(AB26,AC26,AD26)</f>
        <v>4914</v>
      </c>
      <c r="AI26" s="137">
        <f aca="true" t="shared" si="6" ref="AI26:AI38">IF($O$23="QVGA",IF($O$24="standard",($D$9+($O26-1)*$E$9),IF($O$24="high",($D$10+($O26-1)*$E$10),IF($O$24="super",($D$11+($O26-1)*$E$11),0))),IF($O$23="VGA",IF($O$24="standard",($D$12+($O26-1)*$E$12),IF($O$24="high",($D$13+($O26-1)*$E$13),IF($O$24="super",($D$14+($O26-1)*$E$14),0))),IF($O$23="720P",IF($O$24="standard",($D$15+($O26-1)*$E$15),IF($O$24="high",($D$16+($O26-1)*$E$16),IF($O$24="super",($D$17+($O26-1)*$E$17),0))))))</f>
        <v>524285</v>
      </c>
      <c r="AJ26" s="137">
        <f aca="true" t="shared" si="7" ref="AJ26:AJ38">IF(AND(P26&gt;=1,P26&lt;=30),IF($P$23="CIF",IF($P$24="standard",($J$9+($P26-1)*$K$9),IF($P$24="high",($J$10+($P26-1)*$K$10),IF($P$24="super",($J$11+($P26-1)*$K$11),0))),IF($P$23="HD1",IF($P$24="standard",($J$12+($P26-1)*$K$12),IF($P$24="high",($J$13+($P26-1)*$K$13),IF($P$24="super",($J$14+($P26-1)*$K$14),0))),IF($P$23="D1",IF($P$24="standard",($J$15+($P26-1)*$K$15),IF($P$24="high",($J$16+($P26-1)*$K$16),IF($P$24="super",($J$17+($P26-1)*$K$17),0)))))),0)</f>
        <v>0</v>
      </c>
      <c r="AK26" s="137">
        <f>$H$5*$H$6</f>
        <v>8000</v>
      </c>
      <c r="AL26" s="137">
        <f>54*12</f>
        <v>648</v>
      </c>
    </row>
    <row r="27" spans="1:38" ht="16.5">
      <c r="A27" s="105"/>
      <c r="B27" s="85"/>
      <c r="C27" s="85">
        <v>3</v>
      </c>
      <c r="D27" s="101">
        <f t="shared" si="2"/>
        <v>9.798828125</v>
      </c>
      <c r="E27" s="102">
        <f t="shared" si="3"/>
        <v>80272</v>
      </c>
      <c r="F27" s="68"/>
      <c r="G27" s="105"/>
      <c r="H27" s="85"/>
      <c r="I27" s="85">
        <v>3</v>
      </c>
      <c r="J27" s="101">
        <f t="shared" si="5"/>
        <v>9.798828125</v>
      </c>
      <c r="K27" s="102">
        <f t="shared" si="4"/>
        <v>80272</v>
      </c>
      <c r="L27" s="2"/>
      <c r="M27" s="2"/>
      <c r="N27" s="155"/>
      <c r="O27" s="50">
        <v>15</v>
      </c>
      <c r="P27" s="50">
        <v>15</v>
      </c>
      <c r="Q27" s="51">
        <f aca="true" t="shared" si="8" ref="Q27:Q38">SUM(O27:P27)</f>
        <v>30</v>
      </c>
      <c r="R27" s="52">
        <f aca="true" t="shared" si="9" ref="R27:R38">(Z27+AA27*(AB27+AC27+AD27))/1024</f>
        <v>17276.02734375</v>
      </c>
      <c r="S27" s="53">
        <f aca="true" t="shared" si="10" ref="S27:S38">(AF27+AG27+AA27*(AH27+AI27+AJ27+AK27+AL27))/(1024*1024)</f>
        <v>1497.43838596344</v>
      </c>
      <c r="T27" s="62">
        <f>IF((($T$22*1024)/($S27+$R27/1024))&lt;167,(($T$22*1024)/($S27+$R27/1024)),167)</f>
        <v>2.704863162150624</v>
      </c>
      <c r="U27" s="63">
        <f>IF((($U$22*1024)/($S27+$R27/1024))&lt;167,(($U$22*1024)/($S27+$R27/1024)),167)</f>
        <v>5.409726324301248</v>
      </c>
      <c r="V27" s="63">
        <f>IF((($V$22*1024)/($S27+$R27/1024))&lt;167,(($V$22*1024)/($S27+$R27/1024)),167)</f>
        <v>10.819452648602496</v>
      </c>
      <c r="W27" s="63">
        <f>IF((($W$22*1024)/($S27+$R27/1024))&lt;167,(($W$22*1024)/($S27+$R27/1024)),167)</f>
        <v>21.638905297204992</v>
      </c>
      <c r="X27" s="66">
        <f>IF(W27*2&lt;167,W27*2,167)</f>
        <v>43.277810594409985</v>
      </c>
      <c r="Y27" s="67">
        <f>IF(X27*2&lt;167,X27*2,167)</f>
        <v>86.55562118881997</v>
      </c>
      <c r="Z27" s="134">
        <f aca="true" t="shared" si="11" ref="Z27:Z38">$H$1*36</f>
        <v>252</v>
      </c>
      <c r="AA27" s="132">
        <f aca="true" t="shared" si="12" ref="AA27:AA38">$H$4</f>
        <v>3600</v>
      </c>
      <c r="AB27" s="132">
        <f>Q27*117</f>
        <v>3510</v>
      </c>
      <c r="AC27" s="132">
        <f aca="true" t="shared" si="13" ref="AC27:AC38">$H$5*117*$H$2</f>
        <v>0</v>
      </c>
      <c r="AD27" s="132">
        <f aca="true" t="shared" si="14" ref="AD27:AD38">117*12</f>
        <v>1404</v>
      </c>
      <c r="AE27" s="129"/>
      <c r="AF27" s="137">
        <f aca="true" t="shared" si="15" ref="AF27:AF38">Z27</f>
        <v>252</v>
      </c>
      <c r="AG27" s="137">
        <f aca="true" t="shared" si="16" ref="AG27:AG38">$H$1*243</f>
        <v>1701</v>
      </c>
      <c r="AH27" s="137">
        <f aca="true" t="shared" si="17" ref="AH27:AH38">SUM(AB27,AC27,AD27)</f>
        <v>4914</v>
      </c>
      <c r="AI27" s="137">
        <f t="shared" si="6"/>
        <v>307340</v>
      </c>
      <c r="AJ27" s="137">
        <f t="shared" si="7"/>
        <v>115258</v>
      </c>
      <c r="AK27" s="137">
        <f aca="true" t="shared" si="18" ref="AK27:AK38">$H$5*$H$6</f>
        <v>8000</v>
      </c>
      <c r="AL27" s="137">
        <f aca="true" t="shared" si="19" ref="AL27:AL38">54*12</f>
        <v>648</v>
      </c>
    </row>
    <row r="28" spans="1:38" ht="16.5">
      <c r="A28" s="105"/>
      <c r="B28" s="85"/>
      <c r="C28" s="85">
        <v>2</v>
      </c>
      <c r="D28" s="101">
        <f t="shared" si="2"/>
        <v>8.7392578125</v>
      </c>
      <c r="E28" s="102">
        <f t="shared" si="3"/>
        <v>71592</v>
      </c>
      <c r="F28" s="68"/>
      <c r="G28" s="105"/>
      <c r="H28" s="85"/>
      <c r="I28" s="85">
        <v>2</v>
      </c>
      <c r="J28" s="101">
        <f t="shared" si="5"/>
        <v>8.7392578125</v>
      </c>
      <c r="K28" s="102">
        <f t="shared" si="4"/>
        <v>71592</v>
      </c>
      <c r="L28" s="2"/>
      <c r="M28" s="2"/>
      <c r="N28" s="155"/>
      <c r="O28" s="50">
        <v>15</v>
      </c>
      <c r="P28" s="50">
        <v>0</v>
      </c>
      <c r="Q28" s="51">
        <f t="shared" si="8"/>
        <v>15</v>
      </c>
      <c r="R28" s="52">
        <f t="shared" si="9"/>
        <v>11106.10546875</v>
      </c>
      <c r="S28" s="53">
        <f t="shared" si="10"/>
        <v>1095.7061319351196</v>
      </c>
      <c r="T28" s="62">
        <f>IF((($T$22*1024)/($S28+$R28/1024))&lt;167,(($T$22*1024)/($S28+$R28/1024)),167)</f>
        <v>3.7015885645570212</v>
      </c>
      <c r="U28" s="63">
        <f>IF((($U$22*1024)/($S28+$R28/1024))&lt;167,(($U$22*1024)/($S28+$R28/1024)),167)</f>
        <v>7.4031771291140425</v>
      </c>
      <c r="V28" s="63">
        <f>IF((($V$22*1024)/($S28+$R28/1024))&lt;167,(($V$22*1024)/($S28+$R28/1024)),167)</f>
        <v>14.806354258228085</v>
      </c>
      <c r="W28" s="63">
        <f>IF((($W$22*1024)/($S28+$R28/1024))&lt;167,(($W$22*1024)/($S28+$R28/1024)),167)</f>
        <v>29.61270851645617</v>
      </c>
      <c r="X28" s="66">
        <f>IF(W28*2&lt;167,W28*2,167)</f>
        <v>59.22541703291234</v>
      </c>
      <c r="Y28" s="67">
        <f>IF(X28*2&lt;167,X28*2,167)</f>
        <v>118.45083406582468</v>
      </c>
      <c r="Z28" s="134">
        <f t="shared" si="11"/>
        <v>252</v>
      </c>
      <c r="AA28" s="132">
        <f t="shared" si="12"/>
        <v>3600</v>
      </c>
      <c r="AB28" s="132">
        <f aca="true" t="shared" si="20" ref="AB28:AB38">Q28*117</f>
        <v>1755</v>
      </c>
      <c r="AC28" s="132">
        <f t="shared" si="13"/>
        <v>0</v>
      </c>
      <c r="AD28" s="132">
        <f t="shared" si="14"/>
        <v>1404</v>
      </c>
      <c r="AE28" s="129"/>
      <c r="AF28" s="137">
        <f t="shared" si="15"/>
        <v>252</v>
      </c>
      <c r="AG28" s="137">
        <f t="shared" si="16"/>
        <v>1701</v>
      </c>
      <c r="AH28" s="137">
        <f t="shared" si="17"/>
        <v>3159</v>
      </c>
      <c r="AI28" s="137">
        <f t="shared" si="6"/>
        <v>307340</v>
      </c>
      <c r="AJ28" s="137">
        <f t="shared" si="7"/>
        <v>0</v>
      </c>
      <c r="AK28" s="137">
        <f t="shared" si="18"/>
        <v>8000</v>
      </c>
      <c r="AL28" s="137">
        <f t="shared" si="19"/>
        <v>648</v>
      </c>
    </row>
    <row r="29" spans="1:38" ht="16.5">
      <c r="A29" s="105"/>
      <c r="B29" s="90"/>
      <c r="C29" s="108">
        <v>1</v>
      </c>
      <c r="D29" s="101">
        <f t="shared" si="2"/>
        <v>7.6796875</v>
      </c>
      <c r="E29" s="109">
        <f t="shared" si="3"/>
        <v>62912</v>
      </c>
      <c r="F29" s="68"/>
      <c r="G29" s="105"/>
      <c r="H29" s="90"/>
      <c r="I29" s="108">
        <v>1</v>
      </c>
      <c r="J29" s="110">
        <f t="shared" si="5"/>
        <v>7.6796875</v>
      </c>
      <c r="K29" s="111">
        <f t="shared" si="4"/>
        <v>62912</v>
      </c>
      <c r="L29" s="2"/>
      <c r="M29" s="2"/>
      <c r="N29" s="155"/>
      <c r="O29" s="50">
        <v>10</v>
      </c>
      <c r="P29" s="50">
        <v>10</v>
      </c>
      <c r="Q29" s="51">
        <f t="shared" si="8"/>
        <v>20</v>
      </c>
      <c r="R29" s="52">
        <f t="shared" si="9"/>
        <v>13162.74609375</v>
      </c>
      <c r="S29" s="53">
        <f t="shared" si="10"/>
        <v>1152.0385293960571</v>
      </c>
      <c r="T29" s="62">
        <f>IF((($T$22*1024)/($S29+$R29/1024))&lt;167,(($T$22*1024)/($S29+$R29/1024)),167)</f>
        <v>3.5162034590036884</v>
      </c>
      <c r="U29" s="63">
        <f>IF((($U$22*1024)/($S29+$R29/1024))&lt;167,(($U$22*1024)/($S29+$R29/1024)),167)</f>
        <v>7.032406918007377</v>
      </c>
      <c r="V29" s="63">
        <f>IF((($V$22*1024)/($S29+$R29/1024))&lt;167,(($V$22*1024)/($S29+$R29/1024)),167)</f>
        <v>14.064813836014753</v>
      </c>
      <c r="W29" s="63">
        <f>IF((($W$22*1024)/($S29+$R29/1024))&lt;167,(($W$22*1024)/($S29+$R29/1024)),167)</f>
        <v>28.129627672029507</v>
      </c>
      <c r="X29" s="66">
        <f>IF(W29*2&lt;167,W29*2,167)</f>
        <v>56.259255344059014</v>
      </c>
      <c r="Y29" s="67">
        <f>IF(X29*2&lt;167,X29*2,167)</f>
        <v>112.51851068811803</v>
      </c>
      <c r="Z29" s="134">
        <f t="shared" si="11"/>
        <v>252</v>
      </c>
      <c r="AA29" s="132">
        <f t="shared" si="12"/>
        <v>3600</v>
      </c>
      <c r="AB29" s="132">
        <f t="shared" si="20"/>
        <v>2340</v>
      </c>
      <c r="AC29" s="132">
        <f t="shared" si="13"/>
        <v>0</v>
      </c>
      <c r="AD29" s="132">
        <f t="shared" si="14"/>
        <v>1404</v>
      </c>
      <c r="AE29" s="129"/>
      <c r="AF29" s="137">
        <f t="shared" si="15"/>
        <v>252</v>
      </c>
      <c r="AG29" s="137">
        <f t="shared" si="16"/>
        <v>1701</v>
      </c>
      <c r="AH29" s="137">
        <f t="shared" si="17"/>
        <v>3744</v>
      </c>
      <c r="AI29" s="137">
        <f t="shared" si="6"/>
        <v>235025</v>
      </c>
      <c r="AJ29" s="137">
        <f t="shared" si="7"/>
        <v>88138</v>
      </c>
      <c r="AK29" s="137">
        <f t="shared" si="18"/>
        <v>8000</v>
      </c>
      <c r="AL29" s="137">
        <f t="shared" si="19"/>
        <v>648</v>
      </c>
    </row>
    <row r="30" spans="1:38" ht="16.5">
      <c r="A30" s="105"/>
      <c r="B30" s="112" t="s">
        <v>17</v>
      </c>
      <c r="C30" s="112">
        <v>30</v>
      </c>
      <c r="D30" s="113">
        <f aca="true" t="shared" si="21" ref="D30:D38">($D$10+$E$10*($C30-1))/1024</f>
        <v>51.19140625</v>
      </c>
      <c r="E30" s="114">
        <f t="shared" si="3"/>
        <v>419360</v>
      </c>
      <c r="F30" s="68"/>
      <c r="G30" s="105"/>
      <c r="H30" s="112" t="s">
        <v>17</v>
      </c>
      <c r="I30" s="112">
        <v>30</v>
      </c>
      <c r="J30" s="113">
        <f>($J$10+$K$10*($I30-1))/1024</f>
        <v>51.19140625</v>
      </c>
      <c r="K30" s="114">
        <f t="shared" si="4"/>
        <v>419360</v>
      </c>
      <c r="L30" s="2"/>
      <c r="M30" s="2"/>
      <c r="N30" s="155"/>
      <c r="O30" s="50">
        <v>10</v>
      </c>
      <c r="P30" s="50">
        <v>0</v>
      </c>
      <c r="Q30" s="51">
        <f t="shared" si="8"/>
        <v>10</v>
      </c>
      <c r="R30" s="52">
        <f t="shared" si="9"/>
        <v>9049.46484375</v>
      </c>
      <c r="S30" s="53">
        <f t="shared" si="10"/>
        <v>845.4238443374634</v>
      </c>
      <c r="T30" s="62">
        <f>IF((($T$22*1024)/($S30+$R30/1024))&lt;167,(($T$22*1024)/($S30+$R30/1024)),167)</f>
        <v>4.794786349642803</v>
      </c>
      <c r="U30" s="63">
        <f>IF((($U$22*1024)/($S30+$R30/1024))&lt;167,(($U$22*1024)/($S30+$R30/1024)),167)</f>
        <v>9.589572699285606</v>
      </c>
      <c r="V30" s="63">
        <f>IF((($V$22*1024)/($S30+$R30/1024))&lt;167,(($V$22*1024)/($S30+$R30/1024)),167)</f>
        <v>19.17914539857121</v>
      </c>
      <c r="W30" s="63">
        <f>IF((($W$22*1024)/($S30+$R30/1024))&lt;167,(($W$22*1024)/($S30+$R30/1024)),167)</f>
        <v>38.35829079714242</v>
      </c>
      <c r="X30" s="66">
        <f>IF(W30*2&lt;167,W30*2,167)</f>
        <v>76.71658159428485</v>
      </c>
      <c r="Y30" s="67">
        <f>IF(X30*2&lt;167,X30*2,167)</f>
        <v>153.4331631885697</v>
      </c>
      <c r="Z30" s="134">
        <f t="shared" si="11"/>
        <v>252</v>
      </c>
      <c r="AA30" s="132">
        <f t="shared" si="12"/>
        <v>3600</v>
      </c>
      <c r="AB30" s="132">
        <f t="shared" si="20"/>
        <v>1170</v>
      </c>
      <c r="AC30" s="132">
        <f t="shared" si="13"/>
        <v>0</v>
      </c>
      <c r="AD30" s="132">
        <f t="shared" si="14"/>
        <v>1404</v>
      </c>
      <c r="AE30" s="129"/>
      <c r="AF30" s="137">
        <f t="shared" si="15"/>
        <v>252</v>
      </c>
      <c r="AG30" s="137">
        <f t="shared" si="16"/>
        <v>1701</v>
      </c>
      <c r="AH30" s="137">
        <f t="shared" si="17"/>
        <v>2574</v>
      </c>
      <c r="AI30" s="137">
        <f t="shared" si="6"/>
        <v>235025</v>
      </c>
      <c r="AJ30" s="137">
        <f t="shared" si="7"/>
        <v>0</v>
      </c>
      <c r="AK30" s="137">
        <f t="shared" si="18"/>
        <v>8000</v>
      </c>
      <c r="AL30" s="137">
        <f t="shared" si="19"/>
        <v>648</v>
      </c>
    </row>
    <row r="31" spans="1:38" ht="16.5">
      <c r="A31" s="105"/>
      <c r="B31" s="100"/>
      <c r="C31" s="100"/>
      <c r="D31" s="115"/>
      <c r="E31" s="116"/>
      <c r="F31" s="68"/>
      <c r="G31" s="105"/>
      <c r="H31" s="100"/>
      <c r="I31" s="100">
        <v>25</v>
      </c>
      <c r="J31" s="115">
        <f aca="true" t="shared" si="22" ref="J31:J38">($J$10+$K$10*($I31-1))/1024</f>
        <v>44.130859375</v>
      </c>
      <c r="K31" s="116">
        <f t="shared" si="4"/>
        <v>361520</v>
      </c>
      <c r="L31" s="2"/>
      <c r="M31" s="2"/>
      <c r="N31" s="155"/>
      <c r="O31" s="50">
        <v>5</v>
      </c>
      <c r="P31" s="50">
        <v>5</v>
      </c>
      <c r="Q31" s="51">
        <f t="shared" si="8"/>
        <v>10</v>
      </c>
      <c r="R31" s="52">
        <f t="shared" si="9"/>
        <v>9049.46484375</v>
      </c>
      <c r="S31" s="53">
        <f t="shared" si="10"/>
        <v>806.6386728286743</v>
      </c>
      <c r="T31" s="62">
        <f>IF((($T$22*1024)/($S31+$R31/1024))&lt;167,(($T$22*1024)/($S31+$R31/1024)),167)</f>
        <v>5.022833038454535</v>
      </c>
      <c r="U31" s="63">
        <f>IF((($U$22*1024)/($S31+$R31/1024))&lt;167,(($U$22*1024)/($S31+$R31/1024)),167)</f>
        <v>10.04566607690907</v>
      </c>
      <c r="V31" s="63">
        <f>IF((($V$22*1024)/($S31+$R31/1024))&lt;167,(($V$22*1024)/($S31+$R31/1024)),167)</f>
        <v>20.09133215381814</v>
      </c>
      <c r="W31" s="63">
        <f>IF((($W$22*1024)/($S31+$R31/1024))&lt;167,(($W$22*1024)/($S31+$R31/1024)),167)</f>
        <v>40.18266430763628</v>
      </c>
      <c r="X31" s="66">
        <f>IF(W31*2&lt;167,W31*2,167)</f>
        <v>80.36532861527256</v>
      </c>
      <c r="Y31" s="67">
        <f>IF(X31*2&lt;167,X31*2,167)</f>
        <v>160.73065723054512</v>
      </c>
      <c r="Z31" s="134">
        <f t="shared" si="11"/>
        <v>252</v>
      </c>
      <c r="AA31" s="132">
        <f t="shared" si="12"/>
        <v>3600</v>
      </c>
      <c r="AB31" s="132">
        <f t="shared" si="20"/>
        <v>1170</v>
      </c>
      <c r="AC31" s="132">
        <f t="shared" si="13"/>
        <v>0</v>
      </c>
      <c r="AD31" s="132">
        <f t="shared" si="14"/>
        <v>1404</v>
      </c>
      <c r="AE31" s="129"/>
      <c r="AF31" s="137">
        <f t="shared" si="15"/>
        <v>252</v>
      </c>
      <c r="AG31" s="137">
        <f t="shared" si="16"/>
        <v>1701</v>
      </c>
      <c r="AH31" s="137">
        <f t="shared" si="17"/>
        <v>2574</v>
      </c>
      <c r="AI31" s="137">
        <f t="shared" si="6"/>
        <v>162710</v>
      </c>
      <c r="AJ31" s="137">
        <f t="shared" si="7"/>
        <v>61018</v>
      </c>
      <c r="AK31" s="137">
        <f t="shared" si="18"/>
        <v>8000</v>
      </c>
      <c r="AL31" s="137">
        <f t="shared" si="19"/>
        <v>648</v>
      </c>
    </row>
    <row r="32" spans="1:38" ht="16.5">
      <c r="A32" s="105"/>
      <c r="B32" s="85"/>
      <c r="C32" s="100">
        <v>15</v>
      </c>
      <c r="D32" s="115">
        <f t="shared" si="21"/>
        <v>30.009765625</v>
      </c>
      <c r="E32" s="116">
        <f t="shared" si="3"/>
        <v>245840</v>
      </c>
      <c r="F32" s="68"/>
      <c r="G32" s="105"/>
      <c r="H32" s="85"/>
      <c r="I32" s="100">
        <v>15</v>
      </c>
      <c r="J32" s="115">
        <f t="shared" si="22"/>
        <v>30.009765625</v>
      </c>
      <c r="K32" s="116">
        <f t="shared" si="4"/>
        <v>245840</v>
      </c>
      <c r="L32" s="2"/>
      <c r="M32" s="2"/>
      <c r="N32" s="155"/>
      <c r="O32" s="50">
        <v>5</v>
      </c>
      <c r="P32" s="50">
        <v>0</v>
      </c>
      <c r="Q32" s="51">
        <f t="shared" si="8"/>
        <v>5</v>
      </c>
      <c r="R32" s="52">
        <f t="shared" si="9"/>
        <v>6992.82421875</v>
      </c>
      <c r="S32" s="53">
        <f t="shared" si="10"/>
        <v>595.1415567398071</v>
      </c>
      <c r="T32" s="62">
        <f>IF((($T$22*1024)/($S32+$R32/1024))&lt;167,(($T$22*1024)/($S32+$R32/1024)),167)</f>
        <v>6.804320296259352</v>
      </c>
      <c r="U32" s="63">
        <f>IF((($U$22*1024)/($S32+$R32/1024))&lt;167,(($U$22*1024)/($S32+$R32/1024)),167)</f>
        <v>13.608640592518704</v>
      </c>
      <c r="V32" s="63">
        <f>IF((($V$22*1024)/($S32+$R32/1024))&lt;167,(($V$22*1024)/($S32+$R32/1024)),167)</f>
        <v>27.217281185037407</v>
      </c>
      <c r="W32" s="63">
        <f>IF((($W$22*1024)/($S32+$R32/1024))&lt;167,(($W$22*1024)/($S32+$R32/1024)),167)</f>
        <v>54.434562370074815</v>
      </c>
      <c r="X32" s="66">
        <f>IF(W32*2&lt;167,W32*2,167)</f>
        <v>108.86912474014963</v>
      </c>
      <c r="Y32" s="67">
        <f>IF(X32*2&lt;167,X32*2,167)</f>
        <v>167</v>
      </c>
      <c r="Z32" s="134">
        <f t="shared" si="11"/>
        <v>252</v>
      </c>
      <c r="AA32" s="132">
        <f t="shared" si="12"/>
        <v>3600</v>
      </c>
      <c r="AB32" s="132">
        <f t="shared" si="20"/>
        <v>585</v>
      </c>
      <c r="AC32" s="132">
        <f t="shared" si="13"/>
        <v>0</v>
      </c>
      <c r="AD32" s="132">
        <f t="shared" si="14"/>
        <v>1404</v>
      </c>
      <c r="AE32" s="129"/>
      <c r="AF32" s="137">
        <f t="shared" si="15"/>
        <v>252</v>
      </c>
      <c r="AG32" s="137">
        <f t="shared" si="16"/>
        <v>1701</v>
      </c>
      <c r="AH32" s="137">
        <f t="shared" si="17"/>
        <v>1989</v>
      </c>
      <c r="AI32" s="137">
        <f t="shared" si="6"/>
        <v>162710</v>
      </c>
      <c r="AJ32" s="137">
        <f t="shared" si="7"/>
        <v>0</v>
      </c>
      <c r="AK32" s="137">
        <f t="shared" si="18"/>
        <v>8000</v>
      </c>
      <c r="AL32" s="137">
        <f t="shared" si="19"/>
        <v>648</v>
      </c>
    </row>
    <row r="33" spans="1:38" ht="16.5">
      <c r="A33" s="105"/>
      <c r="B33" s="85"/>
      <c r="C33" s="100">
        <v>10</v>
      </c>
      <c r="D33" s="115">
        <f t="shared" si="21"/>
        <v>22.94921875</v>
      </c>
      <c r="E33" s="116">
        <f t="shared" si="3"/>
        <v>188000</v>
      </c>
      <c r="F33" s="68"/>
      <c r="G33" s="105"/>
      <c r="H33" s="85"/>
      <c r="I33" s="100">
        <v>10</v>
      </c>
      <c r="J33" s="115">
        <f t="shared" si="22"/>
        <v>22.94921875</v>
      </c>
      <c r="K33" s="116">
        <f t="shared" si="4"/>
        <v>188000</v>
      </c>
      <c r="L33" s="2"/>
      <c r="M33" s="2"/>
      <c r="N33" s="155"/>
      <c r="O33" s="50">
        <v>4</v>
      </c>
      <c r="P33" s="50">
        <v>4</v>
      </c>
      <c r="Q33" s="51">
        <f t="shared" si="8"/>
        <v>8</v>
      </c>
      <c r="R33" s="52">
        <f t="shared" si="9"/>
        <v>8226.80859375</v>
      </c>
      <c r="S33" s="53">
        <f t="shared" si="10"/>
        <v>737.5587015151978</v>
      </c>
      <c r="T33" s="62">
        <f>IF((($T$22*1024)/($S33+$R33/1024))&lt;167,(($T$22*1024)/($S33+$R33/1024)),167)</f>
        <v>5.493616060631462</v>
      </c>
      <c r="U33" s="63">
        <f>IF((($U$22*1024)/($S33+$R33/1024))&lt;167,(($U$22*1024)/($S33+$R33/1024)),167)</f>
        <v>10.987232121262924</v>
      </c>
      <c r="V33" s="63">
        <f>IF((($V$22*1024)/($S33+$R33/1024))&lt;167,(($V$22*1024)/($S33+$R33/1024)),167)</f>
        <v>21.974464242525848</v>
      </c>
      <c r="W33" s="63">
        <f>IF((($W$22*1024)/($S33+$R33/1024))&lt;167,(($W$22*1024)/($S33+$R33/1024)),167)</f>
        <v>43.948928485051695</v>
      </c>
      <c r="X33" s="66">
        <f>IF(W33*2&lt;167,W33*2,167)</f>
        <v>87.89785697010339</v>
      </c>
      <c r="Y33" s="67">
        <f>IF(X33*2&lt;167,X33*2,167)</f>
        <v>167</v>
      </c>
      <c r="Z33" s="134">
        <f t="shared" si="11"/>
        <v>252</v>
      </c>
      <c r="AA33" s="132">
        <f t="shared" si="12"/>
        <v>3600</v>
      </c>
      <c r="AB33" s="132">
        <f t="shared" si="20"/>
        <v>936</v>
      </c>
      <c r="AC33" s="132">
        <f t="shared" si="13"/>
        <v>0</v>
      </c>
      <c r="AD33" s="132">
        <f t="shared" si="14"/>
        <v>1404</v>
      </c>
      <c r="AE33" s="129"/>
      <c r="AF33" s="137">
        <f t="shared" si="15"/>
        <v>252</v>
      </c>
      <c r="AG33" s="137">
        <f t="shared" si="16"/>
        <v>1701</v>
      </c>
      <c r="AH33" s="137">
        <f t="shared" si="17"/>
        <v>2340</v>
      </c>
      <c r="AI33" s="137">
        <f t="shared" si="6"/>
        <v>148247</v>
      </c>
      <c r="AJ33" s="137">
        <f t="shared" si="7"/>
        <v>55594</v>
      </c>
      <c r="AK33" s="137">
        <f t="shared" si="18"/>
        <v>8000</v>
      </c>
      <c r="AL33" s="137">
        <f t="shared" si="19"/>
        <v>648</v>
      </c>
    </row>
    <row r="34" spans="1:38" ht="16.5">
      <c r="A34" s="105"/>
      <c r="B34" s="85"/>
      <c r="C34" s="100">
        <v>5</v>
      </c>
      <c r="D34" s="115">
        <f t="shared" si="21"/>
        <v>15.888671875</v>
      </c>
      <c r="E34" s="116">
        <f t="shared" si="3"/>
        <v>130160</v>
      </c>
      <c r="F34" s="68"/>
      <c r="G34" s="105"/>
      <c r="H34" s="85"/>
      <c r="I34" s="100">
        <v>5</v>
      </c>
      <c r="J34" s="115">
        <f t="shared" si="22"/>
        <v>15.888671875</v>
      </c>
      <c r="K34" s="116">
        <f t="shared" si="4"/>
        <v>130160</v>
      </c>
      <c r="L34" s="2"/>
      <c r="M34" s="2"/>
      <c r="N34" s="155"/>
      <c r="O34" s="50">
        <v>4</v>
      </c>
      <c r="P34" s="50">
        <v>0</v>
      </c>
      <c r="Q34" s="51">
        <f t="shared" si="8"/>
        <v>4</v>
      </c>
      <c r="R34" s="52">
        <f t="shared" si="9"/>
        <v>6581.49609375</v>
      </c>
      <c r="S34" s="53">
        <f t="shared" si="10"/>
        <v>545.0850992202759</v>
      </c>
      <c r="T34" s="62">
        <f>IF((($T$22*1024)/($S34+$R34/1024))&lt;167,(($T$22*1024)/($S34+$R34/1024)),167)</f>
        <v>7.426851027240315</v>
      </c>
      <c r="U34" s="63">
        <f>IF((($U$22*1024)/($S34+$R34/1024))&lt;167,(($U$22*1024)/($S34+$R34/1024)),167)</f>
        <v>14.85370205448063</v>
      </c>
      <c r="V34" s="63">
        <f>IF((($V$22*1024)/($S34+$R34/1024))&lt;167,(($V$22*1024)/($S34+$R34/1024)),167)</f>
        <v>29.70740410896126</v>
      </c>
      <c r="W34" s="63">
        <f>IF((($W$22*1024)/($S34+$R34/1024))&lt;167,(($W$22*1024)/($S34+$R34/1024)),167)</f>
        <v>59.41480821792252</v>
      </c>
      <c r="X34" s="66">
        <f>IF(W34*2&lt;167,W34*2,167)</f>
        <v>118.82961643584504</v>
      </c>
      <c r="Y34" s="67">
        <f>IF(X34*2&lt;167,X34*2,167)</f>
        <v>167</v>
      </c>
      <c r="Z34" s="134">
        <f t="shared" si="11"/>
        <v>252</v>
      </c>
      <c r="AA34" s="132">
        <f t="shared" si="12"/>
        <v>3600</v>
      </c>
      <c r="AB34" s="132">
        <f t="shared" si="20"/>
        <v>468</v>
      </c>
      <c r="AC34" s="132">
        <f t="shared" si="13"/>
        <v>0</v>
      </c>
      <c r="AD34" s="132">
        <f t="shared" si="14"/>
        <v>1404</v>
      </c>
      <c r="AE34" s="129"/>
      <c r="AF34" s="137">
        <f t="shared" si="15"/>
        <v>252</v>
      </c>
      <c r="AG34" s="137">
        <f t="shared" si="16"/>
        <v>1701</v>
      </c>
      <c r="AH34" s="137">
        <f t="shared" si="17"/>
        <v>1872</v>
      </c>
      <c r="AI34" s="137">
        <f t="shared" si="6"/>
        <v>148247</v>
      </c>
      <c r="AJ34" s="137">
        <f t="shared" si="7"/>
        <v>0</v>
      </c>
      <c r="AK34" s="137">
        <f t="shared" si="18"/>
        <v>8000</v>
      </c>
      <c r="AL34" s="137">
        <f t="shared" si="19"/>
        <v>648</v>
      </c>
    </row>
    <row r="35" spans="1:38" ht="16.5">
      <c r="A35" s="105"/>
      <c r="B35" s="85"/>
      <c r="C35" s="100">
        <v>4</v>
      </c>
      <c r="D35" s="115">
        <f t="shared" si="21"/>
        <v>14.4765625</v>
      </c>
      <c r="E35" s="116">
        <f t="shared" si="3"/>
        <v>118592</v>
      </c>
      <c r="F35" s="68"/>
      <c r="G35" s="105"/>
      <c r="H35" s="85"/>
      <c r="I35" s="100">
        <v>4</v>
      </c>
      <c r="J35" s="115">
        <f t="shared" si="22"/>
        <v>14.4765625</v>
      </c>
      <c r="K35" s="116">
        <f t="shared" si="4"/>
        <v>118592</v>
      </c>
      <c r="L35" s="2"/>
      <c r="M35" s="2"/>
      <c r="N35" s="155"/>
      <c r="O35" s="50">
        <v>3</v>
      </c>
      <c r="P35" s="50">
        <v>0</v>
      </c>
      <c r="Q35" s="51">
        <f t="shared" si="8"/>
        <v>3</v>
      </c>
      <c r="R35" s="52">
        <f t="shared" si="9"/>
        <v>6170.16796875</v>
      </c>
      <c r="S35" s="53">
        <f t="shared" si="10"/>
        <v>495.02864170074463</v>
      </c>
      <c r="T35" s="62">
        <f>IF((($T$22*1024)/($S35+$R35/1024))&lt;167,(($T$22*1024)/($S35+$R35/1024)),167)</f>
        <v>8.174764386317335</v>
      </c>
      <c r="U35" s="63">
        <f>IF((($U$22*1024)/($S35+$R35/1024))&lt;167,(($U$22*1024)/($S35+$R35/1024)),167)</f>
        <v>16.34952877263467</v>
      </c>
      <c r="V35" s="63">
        <f>IF((($V$22*1024)/($S35+$R35/1024))&lt;167,(($V$22*1024)/($S35+$R35/1024)),167)</f>
        <v>32.69905754526934</v>
      </c>
      <c r="W35" s="63">
        <f>IF((($W$22*1024)/($S35+$R35/1024))&lt;167,(($W$22*1024)/($S35+$R35/1024)),167)</f>
        <v>65.39811509053868</v>
      </c>
      <c r="X35" s="66">
        <f>IF(W35*2&lt;167,W35*2,167)</f>
        <v>130.79623018107736</v>
      </c>
      <c r="Y35" s="67">
        <f>IF(X35*2&lt;167,X35*2,167)</f>
        <v>167</v>
      </c>
      <c r="Z35" s="134">
        <f t="shared" si="11"/>
        <v>252</v>
      </c>
      <c r="AA35" s="132">
        <f t="shared" si="12"/>
        <v>3600</v>
      </c>
      <c r="AB35" s="132">
        <f t="shared" si="20"/>
        <v>351</v>
      </c>
      <c r="AC35" s="132">
        <f t="shared" si="13"/>
        <v>0</v>
      </c>
      <c r="AD35" s="132">
        <f t="shared" si="14"/>
        <v>1404</v>
      </c>
      <c r="AE35" s="129"/>
      <c r="AF35" s="137">
        <f t="shared" si="15"/>
        <v>252</v>
      </c>
      <c r="AG35" s="137">
        <f t="shared" si="16"/>
        <v>1701</v>
      </c>
      <c r="AH35" s="137">
        <f t="shared" si="17"/>
        <v>1755</v>
      </c>
      <c r="AI35" s="137">
        <f t="shared" si="6"/>
        <v>133784</v>
      </c>
      <c r="AJ35" s="137">
        <f t="shared" si="7"/>
        <v>0</v>
      </c>
      <c r="AK35" s="137">
        <f t="shared" si="18"/>
        <v>8000</v>
      </c>
      <c r="AL35" s="137">
        <f t="shared" si="19"/>
        <v>648</v>
      </c>
    </row>
    <row r="36" spans="1:38" ht="16.5">
      <c r="A36" s="105"/>
      <c r="B36" s="85"/>
      <c r="C36" s="100">
        <v>3</v>
      </c>
      <c r="D36" s="115">
        <f t="shared" si="21"/>
        <v>13.064453125</v>
      </c>
      <c r="E36" s="116">
        <f t="shared" si="3"/>
        <v>107024</v>
      </c>
      <c r="F36" s="68"/>
      <c r="G36" s="105"/>
      <c r="H36" s="85"/>
      <c r="I36" s="100">
        <v>3</v>
      </c>
      <c r="J36" s="115">
        <f t="shared" si="22"/>
        <v>13.064453125</v>
      </c>
      <c r="K36" s="116">
        <f t="shared" si="4"/>
        <v>107024</v>
      </c>
      <c r="L36" s="2"/>
      <c r="M36" s="2"/>
      <c r="N36" s="155"/>
      <c r="O36" s="50">
        <v>2</v>
      </c>
      <c r="P36" s="50">
        <v>0</v>
      </c>
      <c r="Q36" s="51">
        <f t="shared" si="8"/>
        <v>2</v>
      </c>
      <c r="R36" s="52">
        <f t="shared" si="9"/>
        <v>5758.83984375</v>
      </c>
      <c r="S36" s="53">
        <f t="shared" si="10"/>
        <v>444.9721841812134</v>
      </c>
      <c r="T36" s="62">
        <f>IF((($T$22*1024)/($S36+$R36/1024))&lt;167,(($T$22*1024)/($S36+$R36/1024)),167)</f>
        <v>9.0901817469221</v>
      </c>
      <c r="U36" s="63">
        <f>IF((($U$22*1024)/($S36+$R36/1024))&lt;167,(($U$22*1024)/($S36+$R36/1024)),167)</f>
        <v>18.1803634938442</v>
      </c>
      <c r="V36" s="63">
        <f>IF((($V$22*1024)/($S36+$R36/1024))&lt;167,(($V$22*1024)/($S36+$R36/1024)),167)</f>
        <v>36.3607269876884</v>
      </c>
      <c r="W36" s="63">
        <f>IF((($W$22*1024)/($S36+$R36/1024))&lt;167,(($W$22*1024)/($S36+$R36/1024)),167)</f>
        <v>72.7214539753768</v>
      </c>
      <c r="X36" s="66">
        <f>IF(W36*2&lt;167,W36*2,167)</f>
        <v>145.4429079507536</v>
      </c>
      <c r="Y36" s="67">
        <f>IF(X36*2&lt;167,X36*2,167)</f>
        <v>167</v>
      </c>
      <c r="Z36" s="134">
        <f t="shared" si="11"/>
        <v>252</v>
      </c>
      <c r="AA36" s="132">
        <f t="shared" si="12"/>
        <v>3600</v>
      </c>
      <c r="AB36" s="132">
        <f t="shared" si="20"/>
        <v>234</v>
      </c>
      <c r="AC36" s="132">
        <f t="shared" si="13"/>
        <v>0</v>
      </c>
      <c r="AD36" s="132">
        <f t="shared" si="14"/>
        <v>1404</v>
      </c>
      <c r="AE36" s="129"/>
      <c r="AF36" s="137">
        <f t="shared" si="15"/>
        <v>252</v>
      </c>
      <c r="AG36" s="137">
        <f t="shared" si="16"/>
        <v>1701</v>
      </c>
      <c r="AH36" s="137">
        <f t="shared" si="17"/>
        <v>1638</v>
      </c>
      <c r="AI36" s="137">
        <f t="shared" si="6"/>
        <v>119321</v>
      </c>
      <c r="AJ36" s="137">
        <f t="shared" si="7"/>
        <v>0</v>
      </c>
      <c r="AK36" s="137">
        <f t="shared" si="18"/>
        <v>8000</v>
      </c>
      <c r="AL36" s="137">
        <f t="shared" si="19"/>
        <v>648</v>
      </c>
    </row>
    <row r="37" spans="1:38" ht="16.5">
      <c r="A37" s="105"/>
      <c r="B37" s="85"/>
      <c r="C37" s="100">
        <v>2</v>
      </c>
      <c r="D37" s="115">
        <f t="shared" si="21"/>
        <v>11.65234375</v>
      </c>
      <c r="E37" s="116">
        <f t="shared" si="3"/>
        <v>95456</v>
      </c>
      <c r="F37" s="68"/>
      <c r="G37" s="105"/>
      <c r="H37" s="85"/>
      <c r="I37" s="100">
        <v>2</v>
      </c>
      <c r="J37" s="115">
        <f t="shared" si="22"/>
        <v>11.65234375</v>
      </c>
      <c r="K37" s="116">
        <f t="shared" si="4"/>
        <v>95456</v>
      </c>
      <c r="L37" s="2"/>
      <c r="M37" s="2"/>
      <c r="N37" s="155"/>
      <c r="O37" s="50">
        <v>1</v>
      </c>
      <c r="P37" s="50">
        <v>1</v>
      </c>
      <c r="Q37" s="51">
        <f t="shared" si="8"/>
        <v>2</v>
      </c>
      <c r="R37" s="52">
        <f t="shared" si="9"/>
        <v>5758.83984375</v>
      </c>
      <c r="S37" s="53">
        <f t="shared" si="10"/>
        <v>530.3187875747681</v>
      </c>
      <c r="T37" s="62">
        <f>IF((($T$22*1024)/($S37+$R37/1024))&lt;167,(($T$22*1024)/($S37+$R37/1024)),167)</f>
        <v>7.642608709663278</v>
      </c>
      <c r="U37" s="63">
        <f>IF((($U$22*1024)/($S37+$R37/1024))&lt;167,(($U$22*1024)/($S37+$R37/1024)),167)</f>
        <v>15.285217419326557</v>
      </c>
      <c r="V37" s="63">
        <f>IF((($V$22*1024)/($S37+$R37/1024))&lt;167,(($V$22*1024)/($S37+$R37/1024)),167)</f>
        <v>30.570434838653114</v>
      </c>
      <c r="W37" s="63">
        <f>IF((($W$22*1024)/($S37+$R37/1024))&lt;167,(($W$22*1024)/($S37+$R37/1024)),167)</f>
        <v>61.14086967730623</v>
      </c>
      <c r="X37" s="66">
        <f>IF(W37*2&lt;167,W37*2,167)</f>
        <v>122.28173935461245</v>
      </c>
      <c r="Y37" s="67">
        <f>IF(X37*2&lt;167,X37*2,167)</f>
        <v>167</v>
      </c>
      <c r="Z37" s="134">
        <f t="shared" si="11"/>
        <v>252</v>
      </c>
      <c r="AA37" s="132">
        <f t="shared" si="12"/>
        <v>3600</v>
      </c>
      <c r="AB37" s="132">
        <f t="shared" si="20"/>
        <v>234</v>
      </c>
      <c r="AC37" s="132">
        <f t="shared" si="13"/>
        <v>0</v>
      </c>
      <c r="AD37" s="132">
        <f t="shared" si="14"/>
        <v>1404</v>
      </c>
      <c r="AE37" s="129"/>
      <c r="AF37" s="137">
        <f t="shared" si="15"/>
        <v>252</v>
      </c>
      <c r="AG37" s="137">
        <f t="shared" si="16"/>
        <v>1701</v>
      </c>
      <c r="AH37" s="137">
        <f t="shared" si="17"/>
        <v>1638</v>
      </c>
      <c r="AI37" s="137">
        <f t="shared" si="6"/>
        <v>104858</v>
      </c>
      <c r="AJ37" s="137">
        <f t="shared" si="7"/>
        <v>39322</v>
      </c>
      <c r="AK37" s="137">
        <f t="shared" si="18"/>
        <v>8000</v>
      </c>
      <c r="AL37" s="137">
        <f t="shared" si="19"/>
        <v>648</v>
      </c>
    </row>
    <row r="38" spans="1:38" ht="16.5">
      <c r="A38" s="105"/>
      <c r="B38" s="90"/>
      <c r="C38" s="108">
        <v>1</v>
      </c>
      <c r="D38" s="115">
        <f t="shared" si="21"/>
        <v>10.240234375</v>
      </c>
      <c r="E38" s="109">
        <f t="shared" si="3"/>
        <v>83888</v>
      </c>
      <c r="F38" s="68"/>
      <c r="G38" s="105"/>
      <c r="H38" s="90"/>
      <c r="I38" s="108">
        <v>1</v>
      </c>
      <c r="J38" s="117">
        <f t="shared" si="22"/>
        <v>10.240234375</v>
      </c>
      <c r="K38" s="109">
        <f t="shared" si="4"/>
        <v>83888</v>
      </c>
      <c r="L38" s="2"/>
      <c r="M38" s="2"/>
      <c r="N38" s="155"/>
      <c r="O38" s="50">
        <v>1</v>
      </c>
      <c r="P38" s="50">
        <v>0</v>
      </c>
      <c r="Q38" s="51">
        <f t="shared" si="8"/>
        <v>1</v>
      </c>
      <c r="R38" s="52">
        <f t="shared" si="9"/>
        <v>5347.51171875</v>
      </c>
      <c r="S38" s="53">
        <f t="shared" si="10"/>
        <v>394.91572666168213</v>
      </c>
      <c r="T38" s="62">
        <f>IF((($T$22*1024)/($S38+$R38/1024))&lt;167,(($T$22*1024)/($S38+$R38/1024)),167)</f>
        <v>10.236470821230164</v>
      </c>
      <c r="U38" s="63">
        <f>IF((($U$22*1024)/($S38+$R38/1024))&lt;167,(($U$22*1024)/($S38+$R38/1024)),167)</f>
        <v>20.472941642460327</v>
      </c>
      <c r="V38" s="63">
        <f>IF((($V$22*1024)/($S38+$R38/1024))&lt;167,(($V$22*1024)/($S38+$R38/1024)),167)</f>
        <v>40.945883284920654</v>
      </c>
      <c r="W38" s="63">
        <f>IF((($W$22*1024)/($S38+$R38/1024))&lt;167,(($W$22*1024)/($S38+$R38/1024)),167)</f>
        <v>81.89176656984131</v>
      </c>
      <c r="X38" s="66">
        <f>IF(W38*2&lt;167,W38*2,167)</f>
        <v>163.78353313968262</v>
      </c>
      <c r="Y38" s="67">
        <f>IF(X38*2&lt;167,X38*2,167)</f>
        <v>167</v>
      </c>
      <c r="Z38" s="134">
        <f t="shared" si="11"/>
        <v>252</v>
      </c>
      <c r="AA38" s="132">
        <f t="shared" si="12"/>
        <v>3600</v>
      </c>
      <c r="AB38" s="132">
        <f t="shared" si="20"/>
        <v>117</v>
      </c>
      <c r="AC38" s="132">
        <f t="shared" si="13"/>
        <v>0</v>
      </c>
      <c r="AD38" s="132">
        <f t="shared" si="14"/>
        <v>1404</v>
      </c>
      <c r="AE38" s="68"/>
      <c r="AF38" s="137">
        <f t="shared" si="15"/>
        <v>252</v>
      </c>
      <c r="AG38" s="137">
        <f t="shared" si="16"/>
        <v>1701</v>
      </c>
      <c r="AH38" s="137">
        <f t="shared" si="17"/>
        <v>1521</v>
      </c>
      <c r="AI38" s="137">
        <f t="shared" si="6"/>
        <v>104858</v>
      </c>
      <c r="AJ38" s="137">
        <f t="shared" si="7"/>
        <v>0</v>
      </c>
      <c r="AK38" s="137">
        <f t="shared" si="18"/>
        <v>8000</v>
      </c>
      <c r="AL38" s="137">
        <f t="shared" si="19"/>
        <v>648</v>
      </c>
    </row>
    <row r="39" spans="1:38" ht="16.5">
      <c r="A39" s="105"/>
      <c r="B39" s="100" t="s">
        <v>13</v>
      </c>
      <c r="C39" s="100">
        <v>30</v>
      </c>
      <c r="D39" s="113">
        <f aca="true" t="shared" si="23" ref="D39:D47">($D$11+$E$11*($C39-1))/1024</f>
        <v>64.0029296875</v>
      </c>
      <c r="E39" s="116">
        <f t="shared" si="3"/>
        <v>524312</v>
      </c>
      <c r="F39" s="68"/>
      <c r="G39" s="105"/>
      <c r="H39" s="100" t="s">
        <v>13</v>
      </c>
      <c r="I39" s="100">
        <v>30</v>
      </c>
      <c r="J39" s="115">
        <f>($J$11+$K$11*($I39-1))/1024</f>
        <v>64.0029296875</v>
      </c>
      <c r="K39" s="116">
        <f t="shared" si="4"/>
        <v>524312</v>
      </c>
      <c r="L39" s="2"/>
      <c r="M39" s="2"/>
      <c r="N39" s="155"/>
      <c r="O39" s="64"/>
      <c r="P39" s="64"/>
      <c r="Q39" s="54"/>
      <c r="R39" s="44"/>
      <c r="S39" s="44"/>
      <c r="T39" s="43"/>
      <c r="U39" s="43"/>
      <c r="V39" s="43"/>
      <c r="W39" s="43"/>
      <c r="Y39" s="22"/>
      <c r="AL39" s="1"/>
    </row>
    <row r="40" spans="1:38" ht="16.5">
      <c r="A40" s="105"/>
      <c r="B40" s="100"/>
      <c r="C40" s="100"/>
      <c r="D40" s="115"/>
      <c r="E40" s="116"/>
      <c r="F40" s="68"/>
      <c r="G40" s="105"/>
      <c r="H40" s="100"/>
      <c r="I40" s="100">
        <v>25</v>
      </c>
      <c r="J40" s="115">
        <f aca="true" t="shared" si="24" ref="J40:J47">($J$11+$K$11*($I40-1))/1024</f>
        <v>55.1748046875</v>
      </c>
      <c r="K40" s="116">
        <f t="shared" si="4"/>
        <v>451992</v>
      </c>
      <c r="L40" s="2"/>
      <c r="M40" s="2"/>
      <c r="N40" s="155"/>
      <c r="O40" s="64"/>
      <c r="P40" s="64"/>
      <c r="Q40" s="54"/>
      <c r="R40" s="44"/>
      <c r="S40" s="44"/>
      <c r="T40" s="43"/>
      <c r="U40" s="43"/>
      <c r="V40" s="43"/>
      <c r="W40" s="43"/>
      <c r="Y40" s="22"/>
      <c r="AL40" s="1"/>
    </row>
    <row r="41" spans="1:38" ht="16.5">
      <c r="A41" s="105"/>
      <c r="B41" s="85"/>
      <c r="C41" s="100">
        <v>15</v>
      </c>
      <c r="D41" s="115">
        <f t="shared" si="23"/>
        <v>37.5185546875</v>
      </c>
      <c r="E41" s="116">
        <f t="shared" si="3"/>
        <v>307352</v>
      </c>
      <c r="F41" s="68"/>
      <c r="G41" s="105"/>
      <c r="H41" s="85"/>
      <c r="I41" s="100">
        <v>15</v>
      </c>
      <c r="J41" s="115">
        <f t="shared" si="24"/>
        <v>37.5185546875</v>
      </c>
      <c r="K41" s="116">
        <f t="shared" si="4"/>
        <v>307352</v>
      </c>
      <c r="L41" s="2"/>
      <c r="M41" s="2"/>
      <c r="N41" s="155"/>
      <c r="O41" s="64"/>
      <c r="P41" s="64"/>
      <c r="Q41" s="54"/>
      <c r="R41" s="44"/>
      <c r="S41" s="44"/>
      <c r="T41" s="43"/>
      <c r="U41" s="43"/>
      <c r="V41" s="43"/>
      <c r="W41" s="43"/>
      <c r="Y41" s="22"/>
      <c r="AL41" s="1"/>
    </row>
    <row r="42" spans="1:38" ht="16.5">
      <c r="A42" s="105"/>
      <c r="B42" s="85"/>
      <c r="C42" s="100">
        <v>10</v>
      </c>
      <c r="D42" s="115">
        <f t="shared" si="23"/>
        <v>28.6904296875</v>
      </c>
      <c r="E42" s="116">
        <f t="shared" si="3"/>
        <v>235032</v>
      </c>
      <c r="F42" s="68"/>
      <c r="G42" s="105"/>
      <c r="H42" s="85"/>
      <c r="I42" s="100">
        <v>10</v>
      </c>
      <c r="J42" s="115">
        <f t="shared" si="24"/>
        <v>28.6904296875</v>
      </c>
      <c r="K42" s="116">
        <f t="shared" si="4"/>
        <v>235032</v>
      </c>
      <c r="L42" s="2"/>
      <c r="M42" s="2"/>
      <c r="N42" s="155"/>
      <c r="O42" s="64"/>
      <c r="P42" s="64"/>
      <c r="Q42" s="54"/>
      <c r="R42" s="44"/>
      <c r="S42" s="44"/>
      <c r="T42" s="43"/>
      <c r="U42" s="43"/>
      <c r="V42" s="43"/>
      <c r="W42" s="43"/>
      <c r="Y42" s="22"/>
      <c r="AL42" s="1"/>
    </row>
    <row r="43" spans="1:38" ht="16.5">
      <c r="A43" s="105"/>
      <c r="B43" s="85"/>
      <c r="C43" s="100">
        <v>5</v>
      </c>
      <c r="D43" s="115">
        <f t="shared" si="23"/>
        <v>19.8623046875</v>
      </c>
      <c r="E43" s="116">
        <f>D43*1024*8</f>
        <v>162712</v>
      </c>
      <c r="F43" s="68"/>
      <c r="G43" s="105"/>
      <c r="H43" s="85"/>
      <c r="I43" s="100">
        <v>5</v>
      </c>
      <c r="J43" s="115">
        <f t="shared" si="24"/>
        <v>19.8623046875</v>
      </c>
      <c r="K43" s="116">
        <f t="shared" si="4"/>
        <v>162712</v>
      </c>
      <c r="L43" s="2"/>
      <c r="M43" s="2"/>
      <c r="N43" s="155"/>
      <c r="O43" s="64"/>
      <c r="P43" s="64"/>
      <c r="Q43" s="54"/>
      <c r="R43" s="44"/>
      <c r="S43" s="44"/>
      <c r="T43" s="43"/>
      <c r="U43" s="43"/>
      <c r="V43" s="43"/>
      <c r="W43" s="43"/>
      <c r="Y43" s="22"/>
      <c r="AL43" s="1"/>
    </row>
    <row r="44" spans="1:38" ht="16.5">
      <c r="A44" s="105"/>
      <c r="B44" s="85"/>
      <c r="C44" s="100">
        <v>4</v>
      </c>
      <c r="D44" s="115">
        <f t="shared" si="23"/>
        <v>18.0966796875</v>
      </c>
      <c r="E44" s="116">
        <f>D44*1024*8</f>
        <v>148248</v>
      </c>
      <c r="F44" s="68"/>
      <c r="G44" s="105"/>
      <c r="H44" s="85"/>
      <c r="I44" s="100">
        <v>4</v>
      </c>
      <c r="J44" s="115">
        <f t="shared" si="24"/>
        <v>18.0966796875</v>
      </c>
      <c r="K44" s="116">
        <f t="shared" si="4"/>
        <v>148248</v>
      </c>
      <c r="L44" s="2"/>
      <c r="M44" s="2"/>
      <c r="N44" s="155"/>
      <c r="O44" s="64"/>
      <c r="P44" s="64"/>
      <c r="Q44" s="54"/>
      <c r="R44" s="44"/>
      <c r="S44" s="44"/>
      <c r="T44" s="43"/>
      <c r="U44" s="43"/>
      <c r="V44" s="43"/>
      <c r="W44" s="43"/>
      <c r="Y44" s="22"/>
      <c r="AL44" s="1"/>
    </row>
    <row r="45" spans="1:38" ht="16.5">
      <c r="A45" s="105"/>
      <c r="B45" s="85"/>
      <c r="C45" s="100">
        <v>3</v>
      </c>
      <c r="D45" s="115">
        <f t="shared" si="23"/>
        <v>16.3310546875</v>
      </c>
      <c r="E45" s="116">
        <f>D45*1024*8</f>
        <v>133784</v>
      </c>
      <c r="F45" s="68"/>
      <c r="G45" s="105"/>
      <c r="H45" s="85"/>
      <c r="I45" s="100">
        <v>3</v>
      </c>
      <c r="J45" s="115">
        <f t="shared" si="24"/>
        <v>16.3310546875</v>
      </c>
      <c r="K45" s="116">
        <f t="shared" si="4"/>
        <v>133784</v>
      </c>
      <c r="L45" s="2"/>
      <c r="M45" s="2"/>
      <c r="N45" s="155"/>
      <c r="O45" s="64"/>
      <c r="P45" s="64"/>
      <c r="Q45" s="54"/>
      <c r="R45" s="44"/>
      <c r="S45" s="44"/>
      <c r="T45" s="43"/>
      <c r="U45" s="43"/>
      <c r="V45" s="43"/>
      <c r="W45" s="43"/>
      <c r="Y45" s="22"/>
      <c r="AL45" s="1"/>
    </row>
    <row r="46" spans="1:38" ht="16.5">
      <c r="A46" s="105"/>
      <c r="B46" s="85"/>
      <c r="C46" s="100">
        <v>2</v>
      </c>
      <c r="D46" s="115">
        <f t="shared" si="23"/>
        <v>14.5654296875</v>
      </c>
      <c r="E46" s="116">
        <f t="shared" si="3"/>
        <v>119320</v>
      </c>
      <c r="F46" s="68"/>
      <c r="G46" s="105"/>
      <c r="H46" s="85"/>
      <c r="I46" s="100">
        <v>2</v>
      </c>
      <c r="J46" s="115">
        <f t="shared" si="24"/>
        <v>14.5654296875</v>
      </c>
      <c r="K46" s="116">
        <f t="shared" si="4"/>
        <v>119320</v>
      </c>
      <c r="L46" s="2"/>
      <c r="M46" s="2"/>
      <c r="N46" s="155"/>
      <c r="O46" s="64"/>
      <c r="P46" s="64"/>
      <c r="Q46" s="54"/>
      <c r="R46" s="44"/>
      <c r="S46" s="44"/>
      <c r="T46" s="43"/>
      <c r="U46" s="43"/>
      <c r="V46" s="43"/>
      <c r="W46" s="43"/>
      <c r="Y46" s="22"/>
      <c r="AL46" s="1"/>
    </row>
    <row r="47" spans="1:38" ht="17.25" thickBot="1">
      <c r="A47" s="118"/>
      <c r="B47" s="95"/>
      <c r="C47" s="119">
        <v>1</v>
      </c>
      <c r="D47" s="120">
        <f t="shared" si="23"/>
        <v>12.7998046875</v>
      </c>
      <c r="E47" s="121">
        <f t="shared" si="3"/>
        <v>104856</v>
      </c>
      <c r="F47" s="68"/>
      <c r="G47" s="118"/>
      <c r="H47" s="95"/>
      <c r="I47" s="119">
        <v>1</v>
      </c>
      <c r="J47" s="115">
        <f t="shared" si="24"/>
        <v>12.7998046875</v>
      </c>
      <c r="K47" s="116">
        <f t="shared" si="4"/>
        <v>104856</v>
      </c>
      <c r="L47" s="3"/>
      <c r="M47" s="3"/>
      <c r="N47" s="155"/>
      <c r="O47" s="64"/>
      <c r="P47" s="64"/>
      <c r="Q47" s="54"/>
      <c r="R47" s="44"/>
      <c r="S47" s="44"/>
      <c r="T47" s="43"/>
      <c r="U47" s="43"/>
      <c r="V47" s="43"/>
      <c r="W47" s="43"/>
      <c r="Y47" s="22"/>
      <c r="AL47" s="1"/>
    </row>
    <row r="48" spans="1:38" ht="17.25" thickBot="1">
      <c r="A48" s="99" t="s">
        <v>28</v>
      </c>
      <c r="B48" s="100" t="s">
        <v>11</v>
      </c>
      <c r="C48" s="100">
        <v>30</v>
      </c>
      <c r="D48" s="101">
        <f>($D$12+$E$12*($C48-1))/1024</f>
        <v>128.005859375</v>
      </c>
      <c r="E48" s="102">
        <f t="shared" si="3"/>
        <v>1048624</v>
      </c>
      <c r="F48" s="68"/>
      <c r="G48" s="99" t="s">
        <v>9</v>
      </c>
      <c r="H48" s="100" t="s">
        <v>11</v>
      </c>
      <c r="I48" s="100">
        <v>30</v>
      </c>
      <c r="J48" s="122">
        <f>($J$12+$K$12*($I48-1))/1024</f>
        <v>76.787109375</v>
      </c>
      <c r="K48" s="123">
        <f aca="true" t="shared" si="25" ref="K48:K99">J48*1024*8</f>
        <v>629040</v>
      </c>
      <c r="L48" s="3"/>
      <c r="M48" s="3"/>
      <c r="N48" s="156"/>
      <c r="O48" s="65"/>
      <c r="P48" s="65"/>
      <c r="Q48" s="55"/>
      <c r="R48" s="41"/>
      <c r="S48" s="41"/>
      <c r="T48" s="40"/>
      <c r="U48" s="40"/>
      <c r="V48" s="40"/>
      <c r="W48" s="40"/>
      <c r="X48" s="19"/>
      <c r="Y48" s="20"/>
      <c r="AL48" s="1"/>
    </row>
    <row r="49" spans="1:38" ht="16.5">
      <c r="A49" s="105"/>
      <c r="B49" s="100"/>
      <c r="C49" s="100"/>
      <c r="D49" s="101"/>
      <c r="E49" s="102"/>
      <c r="F49" s="68"/>
      <c r="G49" s="105"/>
      <c r="H49" s="100"/>
      <c r="I49" s="100">
        <v>25</v>
      </c>
      <c r="J49" s="101">
        <f aca="true" t="shared" si="26" ref="J49:J54">($J$12+$K$12*($I49-1))/1024</f>
        <v>66.1962890625</v>
      </c>
      <c r="K49" s="102">
        <f t="shared" si="25"/>
        <v>542280</v>
      </c>
      <c r="L49" s="3"/>
      <c r="M49" s="3"/>
      <c r="AL49" s="1"/>
    </row>
    <row r="50" spans="1:38" ht="16.5">
      <c r="A50" s="105"/>
      <c r="B50" s="85"/>
      <c r="C50" s="100">
        <v>15</v>
      </c>
      <c r="D50" s="101">
        <f>($D$12+$E$12*($C50-1))/1024</f>
        <v>75.037109375</v>
      </c>
      <c r="E50" s="102">
        <f t="shared" si="3"/>
        <v>614704</v>
      </c>
      <c r="F50" s="68"/>
      <c r="G50" s="105"/>
      <c r="H50" s="85"/>
      <c r="I50" s="100">
        <v>15</v>
      </c>
      <c r="J50" s="101">
        <f t="shared" si="26"/>
        <v>45.0146484375</v>
      </c>
      <c r="K50" s="102">
        <f t="shared" si="25"/>
        <v>368760</v>
      </c>
      <c r="L50" s="3"/>
      <c r="M50" s="3"/>
      <c r="AL50" s="1"/>
    </row>
    <row r="51" spans="1:38" ht="16.5">
      <c r="A51" s="105"/>
      <c r="B51" s="85"/>
      <c r="C51" s="100">
        <v>4</v>
      </c>
      <c r="D51" s="101"/>
      <c r="E51" s="102"/>
      <c r="F51" s="68"/>
      <c r="G51" s="105"/>
      <c r="H51" s="85"/>
      <c r="I51" s="100">
        <v>4</v>
      </c>
      <c r="J51" s="101">
        <f t="shared" si="26"/>
        <v>21.71484375</v>
      </c>
      <c r="K51" s="102">
        <f t="shared" si="25"/>
        <v>177888</v>
      </c>
      <c r="L51" s="3"/>
      <c r="M51" s="3"/>
      <c r="AL51" s="1"/>
    </row>
    <row r="52" spans="1:38" ht="16.5">
      <c r="A52" s="105"/>
      <c r="B52" s="85"/>
      <c r="C52" s="100">
        <v>3</v>
      </c>
      <c r="D52" s="101">
        <f>($D$12+$E$12*($C52-1))/1024</f>
        <v>32.662109375</v>
      </c>
      <c r="E52" s="102">
        <f t="shared" si="3"/>
        <v>267568</v>
      </c>
      <c r="F52" s="68"/>
      <c r="G52" s="105"/>
      <c r="H52" s="85"/>
      <c r="I52" s="100">
        <v>3</v>
      </c>
      <c r="J52" s="101">
        <f t="shared" si="26"/>
        <v>19.5966796875</v>
      </c>
      <c r="K52" s="102">
        <f t="shared" si="25"/>
        <v>160536</v>
      </c>
      <c r="AL52" s="1"/>
    </row>
    <row r="53" spans="1:38" ht="16.5">
      <c r="A53" s="105"/>
      <c r="B53" s="85"/>
      <c r="C53" s="100">
        <v>2</v>
      </c>
      <c r="D53" s="101">
        <f>($D$12+$E$12*($C53-1))/1024</f>
        <v>29.130859375</v>
      </c>
      <c r="E53" s="102">
        <f t="shared" si="3"/>
        <v>238640</v>
      </c>
      <c r="F53" s="68"/>
      <c r="G53" s="105"/>
      <c r="H53" s="85"/>
      <c r="I53" s="100">
        <v>2</v>
      </c>
      <c r="J53" s="101">
        <f t="shared" si="26"/>
        <v>17.478515625</v>
      </c>
      <c r="K53" s="102">
        <f t="shared" si="25"/>
        <v>143184</v>
      </c>
      <c r="AL53" s="1"/>
    </row>
    <row r="54" spans="1:38" ht="16.5">
      <c r="A54" s="105"/>
      <c r="B54" s="90"/>
      <c r="C54" s="108">
        <v>1</v>
      </c>
      <c r="D54" s="101">
        <f>($D$12+$E$12*($C54-1))/1024</f>
        <v>25.599609375</v>
      </c>
      <c r="E54" s="109">
        <f t="shared" si="3"/>
        <v>209712</v>
      </c>
      <c r="F54" s="68"/>
      <c r="G54" s="105"/>
      <c r="H54" s="90"/>
      <c r="I54" s="108">
        <v>1</v>
      </c>
      <c r="J54" s="110">
        <f t="shared" si="26"/>
        <v>15.3603515625</v>
      </c>
      <c r="K54" s="111">
        <f t="shared" si="25"/>
        <v>125832</v>
      </c>
      <c r="AL54" s="1"/>
    </row>
    <row r="55" spans="1:38" ht="16.5">
      <c r="A55" s="105"/>
      <c r="B55" s="112" t="s">
        <v>17</v>
      </c>
      <c r="C55" s="112">
        <v>30</v>
      </c>
      <c r="D55" s="113">
        <f>($D$13+$E$13*($C55-1))/1024</f>
        <v>192.009765625</v>
      </c>
      <c r="E55" s="114">
        <f t="shared" si="3"/>
        <v>1572944</v>
      </c>
      <c r="F55" s="68"/>
      <c r="G55" s="105"/>
      <c r="H55" s="112" t="s">
        <v>17</v>
      </c>
      <c r="I55" s="112">
        <v>30</v>
      </c>
      <c r="J55" s="113">
        <f>($J$13+$K$13*($I55-1))/1024</f>
        <v>102.4111328125</v>
      </c>
      <c r="K55" s="114">
        <f t="shared" si="25"/>
        <v>838952</v>
      </c>
      <c r="AL55" s="1"/>
    </row>
    <row r="56" spans="1:38" ht="16.5">
      <c r="A56" s="105"/>
      <c r="B56" s="100"/>
      <c r="C56" s="100"/>
      <c r="D56" s="115"/>
      <c r="E56" s="116"/>
      <c r="F56" s="68"/>
      <c r="G56" s="105"/>
      <c r="H56" s="100"/>
      <c r="I56" s="100">
        <v>25</v>
      </c>
      <c r="J56" s="115">
        <f aca="true" t="shared" si="27" ref="J56:J63">($J$13+$K$13*($I56-1))/1024</f>
        <v>88.28515625</v>
      </c>
      <c r="K56" s="116">
        <f t="shared" si="25"/>
        <v>723232</v>
      </c>
      <c r="AL56" s="1"/>
    </row>
    <row r="57" spans="1:38" ht="16.5">
      <c r="A57" s="105"/>
      <c r="B57" s="85"/>
      <c r="C57" s="100">
        <v>15</v>
      </c>
      <c r="D57" s="115">
        <f aca="true" t="shared" si="28" ref="D57:D63">($D$13+$E$13*($C57-1))/1024</f>
        <v>112.556640625</v>
      </c>
      <c r="E57" s="116">
        <f t="shared" si="3"/>
        <v>922064</v>
      </c>
      <c r="F57" s="68"/>
      <c r="G57" s="105"/>
      <c r="H57" s="85"/>
      <c r="I57" s="100">
        <v>15</v>
      </c>
      <c r="J57" s="115">
        <f t="shared" si="27"/>
        <v>60.033203125</v>
      </c>
      <c r="K57" s="116">
        <f t="shared" si="25"/>
        <v>491792</v>
      </c>
      <c r="AL57" s="1"/>
    </row>
    <row r="58" spans="1:38" ht="16.5">
      <c r="A58" s="105"/>
      <c r="B58" s="85"/>
      <c r="C58" s="100">
        <v>10</v>
      </c>
      <c r="D58" s="115">
        <f t="shared" si="28"/>
        <v>86.072265625</v>
      </c>
      <c r="E58" s="116">
        <f t="shared" si="3"/>
        <v>705104</v>
      </c>
      <c r="F58" s="68"/>
      <c r="G58" s="105"/>
      <c r="H58" s="85"/>
      <c r="I58" s="100">
        <v>10</v>
      </c>
      <c r="J58" s="115">
        <f t="shared" si="27"/>
        <v>45.9072265625</v>
      </c>
      <c r="K58" s="116">
        <f t="shared" si="25"/>
        <v>376072</v>
      </c>
      <c r="AL58" s="1"/>
    </row>
    <row r="59" spans="1:38" ht="16.5">
      <c r="A59" s="105"/>
      <c r="B59" s="85"/>
      <c r="C59" s="100">
        <v>5</v>
      </c>
      <c r="D59" s="115">
        <f t="shared" si="28"/>
        <v>59.587890625</v>
      </c>
      <c r="E59" s="116">
        <f t="shared" si="3"/>
        <v>488144</v>
      </c>
      <c r="F59" s="68"/>
      <c r="G59" s="105"/>
      <c r="H59" s="85"/>
      <c r="I59" s="100">
        <v>5</v>
      </c>
      <c r="J59" s="115">
        <f t="shared" si="27"/>
        <v>31.78125</v>
      </c>
      <c r="K59" s="116">
        <f t="shared" si="25"/>
        <v>260352</v>
      </c>
      <c r="AL59" s="1"/>
    </row>
    <row r="60" spans="1:38" ht="16.5">
      <c r="A60" s="105"/>
      <c r="B60" s="85"/>
      <c r="C60" s="100">
        <v>4</v>
      </c>
      <c r="D60" s="115">
        <f t="shared" si="28"/>
        <v>54.291015625</v>
      </c>
      <c r="E60" s="116">
        <f t="shared" si="3"/>
        <v>444752</v>
      </c>
      <c r="F60" s="68"/>
      <c r="G60" s="105"/>
      <c r="H60" s="85"/>
      <c r="I60" s="100">
        <v>4</v>
      </c>
      <c r="J60" s="115">
        <f t="shared" si="27"/>
        <v>28.9560546875</v>
      </c>
      <c r="K60" s="116">
        <f t="shared" si="25"/>
        <v>237208</v>
      </c>
      <c r="AL60" s="1"/>
    </row>
    <row r="61" spans="1:38" ht="16.5">
      <c r="A61" s="105"/>
      <c r="B61" s="85"/>
      <c r="C61" s="100">
        <v>3</v>
      </c>
      <c r="D61" s="115">
        <f t="shared" si="28"/>
        <v>48.994140625</v>
      </c>
      <c r="E61" s="116">
        <f t="shared" si="3"/>
        <v>401360</v>
      </c>
      <c r="F61" s="68"/>
      <c r="G61" s="105"/>
      <c r="H61" s="85"/>
      <c r="I61" s="100">
        <v>3</v>
      </c>
      <c r="J61" s="115">
        <f t="shared" si="27"/>
        <v>26.130859375</v>
      </c>
      <c r="K61" s="116">
        <f t="shared" si="25"/>
        <v>214064</v>
      </c>
      <c r="AL61" s="1"/>
    </row>
    <row r="62" spans="1:38" ht="16.5">
      <c r="A62" s="105"/>
      <c r="B62" s="85"/>
      <c r="C62" s="100">
        <v>2</v>
      </c>
      <c r="D62" s="115">
        <f t="shared" si="28"/>
        <v>43.697265625</v>
      </c>
      <c r="E62" s="116">
        <f t="shared" si="3"/>
        <v>357968</v>
      </c>
      <c r="F62" s="68"/>
      <c r="G62" s="105"/>
      <c r="H62" s="85"/>
      <c r="I62" s="100">
        <v>2</v>
      </c>
      <c r="J62" s="115">
        <f t="shared" si="27"/>
        <v>23.3056640625</v>
      </c>
      <c r="K62" s="116">
        <f t="shared" si="25"/>
        <v>190920</v>
      </c>
      <c r="AL62" s="1"/>
    </row>
    <row r="63" spans="1:38" ht="16.5">
      <c r="A63" s="105"/>
      <c r="B63" s="90"/>
      <c r="C63" s="108">
        <v>1</v>
      </c>
      <c r="D63" s="117">
        <f t="shared" si="28"/>
        <v>38.400390625</v>
      </c>
      <c r="E63" s="109">
        <f t="shared" si="3"/>
        <v>314576</v>
      </c>
      <c r="F63" s="68"/>
      <c r="G63" s="105"/>
      <c r="H63" s="90"/>
      <c r="I63" s="108">
        <v>1</v>
      </c>
      <c r="J63" s="117">
        <f t="shared" si="27"/>
        <v>20.48046875</v>
      </c>
      <c r="K63" s="109">
        <f t="shared" si="25"/>
        <v>167776</v>
      </c>
      <c r="AL63" s="1"/>
    </row>
    <row r="64" spans="1:38" ht="16.5">
      <c r="A64" s="105"/>
      <c r="B64" s="100" t="s">
        <v>13</v>
      </c>
      <c r="C64" s="100">
        <v>30</v>
      </c>
      <c r="D64" s="113">
        <f>($D$14+$E$14*($C64-1))/1024</f>
        <v>256.0126953125</v>
      </c>
      <c r="E64" s="116">
        <f t="shared" si="3"/>
        <v>2097256</v>
      </c>
      <c r="F64" s="68"/>
      <c r="G64" s="105"/>
      <c r="H64" s="100" t="s">
        <v>13</v>
      </c>
      <c r="I64" s="100">
        <v>30</v>
      </c>
      <c r="J64" s="115">
        <f>($J$14+$K$14*($I64-1))/1024</f>
        <v>128.005859375</v>
      </c>
      <c r="K64" s="116">
        <f t="shared" si="25"/>
        <v>1048624</v>
      </c>
      <c r="AL64" s="1"/>
    </row>
    <row r="65" spans="1:38" ht="16.5">
      <c r="A65" s="105"/>
      <c r="B65" s="100"/>
      <c r="C65" s="100"/>
      <c r="D65" s="115"/>
      <c r="E65" s="116"/>
      <c r="F65" s="68"/>
      <c r="G65" s="105"/>
      <c r="H65" s="100"/>
      <c r="I65" s="100">
        <v>25</v>
      </c>
      <c r="J65" s="115">
        <f aca="true" t="shared" si="29" ref="J65:J72">($J$14+$K$14*($I65-1))/1024</f>
        <v>110.349609375</v>
      </c>
      <c r="K65" s="116">
        <f t="shared" si="25"/>
        <v>903984</v>
      </c>
      <c r="AL65" s="1"/>
    </row>
    <row r="66" spans="1:38" ht="16.5">
      <c r="A66" s="105"/>
      <c r="B66" s="85"/>
      <c r="C66" s="100">
        <v>15</v>
      </c>
      <c r="D66" s="115">
        <f aca="true" t="shared" si="30" ref="D66:D72">($D$14+$E$14*($C66-1))/1024</f>
        <v>150.0751953125</v>
      </c>
      <c r="E66" s="116">
        <f t="shared" si="3"/>
        <v>1229416</v>
      </c>
      <c r="F66" s="68"/>
      <c r="G66" s="105"/>
      <c r="H66" s="85"/>
      <c r="I66" s="100">
        <v>15</v>
      </c>
      <c r="J66" s="115">
        <f t="shared" si="29"/>
        <v>75.037109375</v>
      </c>
      <c r="K66" s="116">
        <f t="shared" si="25"/>
        <v>614704</v>
      </c>
      <c r="N66" s="6"/>
      <c r="O66" s="6"/>
      <c r="P66" s="7"/>
      <c r="Q66" s="7"/>
      <c r="R66" s="7"/>
      <c r="S66" s="157"/>
      <c r="T66" s="157"/>
      <c r="U66" s="157"/>
      <c r="V66" s="157"/>
      <c r="W66" s="157"/>
      <c r="X66" s="157"/>
      <c r="AL66" s="1"/>
    </row>
    <row r="67" spans="1:38" ht="16.5">
      <c r="A67" s="105"/>
      <c r="B67" s="85"/>
      <c r="C67" s="100">
        <v>10</v>
      </c>
      <c r="D67" s="115">
        <f t="shared" si="30"/>
        <v>114.7626953125</v>
      </c>
      <c r="E67" s="116">
        <f t="shared" si="3"/>
        <v>940136</v>
      </c>
      <c r="F67" s="68"/>
      <c r="G67" s="105"/>
      <c r="H67" s="85"/>
      <c r="I67" s="100">
        <v>10</v>
      </c>
      <c r="J67" s="115">
        <f t="shared" si="29"/>
        <v>57.380859375</v>
      </c>
      <c r="K67" s="116">
        <f t="shared" si="25"/>
        <v>470064</v>
      </c>
      <c r="N67" s="7"/>
      <c r="O67" s="7"/>
      <c r="P67" s="7"/>
      <c r="Q67" s="7"/>
      <c r="R67" s="7"/>
      <c r="S67" s="11"/>
      <c r="T67" s="23"/>
      <c r="U67" s="7"/>
      <c r="V67" s="7"/>
      <c r="W67" s="7"/>
      <c r="X67" s="7"/>
      <c r="AL67" s="1"/>
    </row>
    <row r="68" spans="1:38" ht="16.5">
      <c r="A68" s="105"/>
      <c r="B68" s="85"/>
      <c r="C68" s="100">
        <v>5</v>
      </c>
      <c r="D68" s="115">
        <f t="shared" si="30"/>
        <v>79.4501953125</v>
      </c>
      <c r="E68" s="116">
        <f t="shared" si="3"/>
        <v>650856</v>
      </c>
      <c r="F68" s="68"/>
      <c r="G68" s="105"/>
      <c r="H68" s="85"/>
      <c r="I68" s="100">
        <v>5</v>
      </c>
      <c r="J68" s="115">
        <f t="shared" si="29"/>
        <v>39.724609375</v>
      </c>
      <c r="K68" s="116">
        <f t="shared" si="25"/>
        <v>325424</v>
      </c>
      <c r="N68" s="7"/>
      <c r="O68" s="7"/>
      <c r="P68" s="7"/>
      <c r="Q68" s="7"/>
      <c r="R68" s="7"/>
      <c r="S68" s="24"/>
      <c r="T68" s="25"/>
      <c r="U68" s="21"/>
      <c r="V68" s="21"/>
      <c r="W68" s="21"/>
      <c r="X68" s="21"/>
      <c r="AL68" s="1"/>
    </row>
    <row r="69" spans="1:38" ht="16.5">
      <c r="A69" s="105"/>
      <c r="B69" s="85"/>
      <c r="C69" s="100">
        <v>4</v>
      </c>
      <c r="D69" s="115">
        <f t="shared" si="30"/>
        <v>72.3876953125</v>
      </c>
      <c r="E69" s="116">
        <f t="shared" si="3"/>
        <v>593000</v>
      </c>
      <c r="F69" s="68"/>
      <c r="G69" s="105"/>
      <c r="H69" s="85"/>
      <c r="I69" s="100">
        <v>4</v>
      </c>
      <c r="J69" s="115">
        <f t="shared" si="29"/>
        <v>36.193359375</v>
      </c>
      <c r="K69" s="116">
        <f t="shared" si="25"/>
        <v>296496</v>
      </c>
      <c r="N69" s="7"/>
      <c r="O69" s="7"/>
      <c r="P69" s="7"/>
      <c r="Q69" s="7"/>
      <c r="R69" s="7"/>
      <c r="S69" s="24"/>
      <c r="T69" s="25"/>
      <c r="U69" s="21"/>
      <c r="V69" s="21"/>
      <c r="W69" s="21"/>
      <c r="X69" s="21"/>
      <c r="AL69" s="1"/>
    </row>
    <row r="70" spans="1:38" ht="16.5">
      <c r="A70" s="105"/>
      <c r="B70" s="85"/>
      <c r="C70" s="100">
        <v>3</v>
      </c>
      <c r="D70" s="115">
        <f t="shared" si="30"/>
        <v>65.3251953125</v>
      </c>
      <c r="E70" s="116">
        <f t="shared" si="3"/>
        <v>535144</v>
      </c>
      <c r="F70" s="68"/>
      <c r="G70" s="105"/>
      <c r="H70" s="85"/>
      <c r="I70" s="100">
        <v>3</v>
      </c>
      <c r="J70" s="115">
        <f t="shared" si="29"/>
        <v>32.662109375</v>
      </c>
      <c r="K70" s="116">
        <f t="shared" si="25"/>
        <v>267568</v>
      </c>
      <c r="N70" s="7"/>
      <c r="O70" s="7"/>
      <c r="P70" s="6"/>
      <c r="Q70" s="6"/>
      <c r="R70" s="7"/>
      <c r="S70" s="24"/>
      <c r="T70" s="25"/>
      <c r="U70" s="21"/>
      <c r="V70" s="21"/>
      <c r="W70" s="21"/>
      <c r="X70" s="21"/>
      <c r="AL70" s="1"/>
    </row>
    <row r="71" spans="1:38" ht="16.5">
      <c r="A71" s="105"/>
      <c r="B71" s="85"/>
      <c r="C71" s="100">
        <v>2</v>
      </c>
      <c r="D71" s="115">
        <f t="shared" si="30"/>
        <v>58.2626953125</v>
      </c>
      <c r="E71" s="116">
        <f t="shared" si="3"/>
        <v>477288</v>
      </c>
      <c r="F71" s="68"/>
      <c r="G71" s="105"/>
      <c r="H71" s="85"/>
      <c r="I71" s="100">
        <v>2</v>
      </c>
      <c r="J71" s="115">
        <f t="shared" si="29"/>
        <v>29.130859375</v>
      </c>
      <c r="K71" s="116">
        <f t="shared" si="25"/>
        <v>238640</v>
      </c>
      <c r="N71" s="7"/>
      <c r="O71" s="7"/>
      <c r="P71" s="7"/>
      <c r="Q71" s="7"/>
      <c r="R71" s="7"/>
      <c r="S71" s="24"/>
      <c r="T71" s="25"/>
      <c r="U71" s="21"/>
      <c r="V71" s="21"/>
      <c r="W71" s="21"/>
      <c r="X71" s="21"/>
      <c r="AL71" s="1"/>
    </row>
    <row r="72" spans="1:38" ht="17.25" thickBot="1">
      <c r="A72" s="118"/>
      <c r="B72" s="95"/>
      <c r="C72" s="119">
        <v>1</v>
      </c>
      <c r="D72" s="120">
        <f t="shared" si="30"/>
        <v>51.2001953125</v>
      </c>
      <c r="E72" s="121">
        <f t="shared" si="3"/>
        <v>419432</v>
      </c>
      <c r="F72" s="68"/>
      <c r="G72" s="105"/>
      <c r="H72" s="85"/>
      <c r="I72" s="100">
        <v>1</v>
      </c>
      <c r="J72" s="115">
        <f t="shared" si="29"/>
        <v>25.599609375</v>
      </c>
      <c r="K72" s="116">
        <f t="shared" si="25"/>
        <v>209712</v>
      </c>
      <c r="N72" s="6"/>
      <c r="O72" s="6"/>
      <c r="P72" s="7"/>
      <c r="Q72" s="7"/>
      <c r="R72" s="7"/>
      <c r="S72" s="24"/>
      <c r="T72" s="25"/>
      <c r="U72" s="21"/>
      <c r="V72" s="21"/>
      <c r="W72" s="21"/>
      <c r="X72" s="21"/>
      <c r="AL72" s="1"/>
    </row>
    <row r="73" spans="1:38" ht="16.5">
      <c r="A73" s="99" t="s">
        <v>29</v>
      </c>
      <c r="B73" s="100" t="s">
        <v>11</v>
      </c>
      <c r="C73" s="100">
        <v>30</v>
      </c>
      <c r="D73" s="101">
        <f>($D$15+$E$15*($C73-1))/1024</f>
        <v>383.990234375</v>
      </c>
      <c r="E73" s="102">
        <f t="shared" si="3"/>
        <v>3145648</v>
      </c>
      <c r="F73" s="68"/>
      <c r="G73" s="99" t="s">
        <v>16</v>
      </c>
      <c r="H73" s="124" t="s">
        <v>11</v>
      </c>
      <c r="I73" s="124">
        <v>30</v>
      </c>
      <c r="J73" s="122">
        <f>($J$15+$K$15*($I73-1))/1024</f>
        <v>128.005859375</v>
      </c>
      <c r="K73" s="123">
        <f t="shared" si="25"/>
        <v>1048624</v>
      </c>
      <c r="N73" s="6"/>
      <c r="O73" s="6"/>
      <c r="P73" s="7"/>
      <c r="Q73" s="7"/>
      <c r="R73" s="7"/>
      <c r="S73" s="24"/>
      <c r="T73" s="25"/>
      <c r="U73" s="21"/>
      <c r="V73" s="21"/>
      <c r="W73" s="21"/>
      <c r="X73" s="21"/>
      <c r="AL73" s="1"/>
    </row>
    <row r="74" spans="1:38" ht="16.5">
      <c r="A74" s="105"/>
      <c r="B74" s="100"/>
      <c r="C74" s="100"/>
      <c r="D74" s="101"/>
      <c r="E74" s="102"/>
      <c r="F74" s="68"/>
      <c r="G74" s="105"/>
      <c r="H74" s="100"/>
      <c r="I74" s="100">
        <v>25</v>
      </c>
      <c r="J74" s="101">
        <f aca="true" t="shared" si="31" ref="J74:J81">($J$15+$K$15*($I74-1))/1024</f>
        <v>110.349609375</v>
      </c>
      <c r="K74" s="102">
        <f t="shared" si="25"/>
        <v>903984</v>
      </c>
      <c r="N74" s="6"/>
      <c r="O74" s="6"/>
      <c r="P74" s="7"/>
      <c r="Q74" s="7"/>
      <c r="R74" s="7"/>
      <c r="S74" s="24"/>
      <c r="T74" s="25"/>
      <c r="U74" s="21"/>
      <c r="V74" s="21"/>
      <c r="W74" s="21"/>
      <c r="X74" s="21"/>
      <c r="AL74" s="1"/>
    </row>
    <row r="75" spans="1:38" ht="16.5">
      <c r="A75" s="105"/>
      <c r="B75" s="85"/>
      <c r="C75" s="100">
        <v>15</v>
      </c>
      <c r="D75" s="101">
        <f aca="true" t="shared" si="32" ref="D75:D81">($D$15+$E$15*($C75-1))/1024</f>
        <v>225.0986328125</v>
      </c>
      <c r="E75" s="102">
        <f t="shared" si="3"/>
        <v>1844008</v>
      </c>
      <c r="F75" s="68"/>
      <c r="G75" s="105"/>
      <c r="H75" s="85"/>
      <c r="I75" s="100">
        <v>15</v>
      </c>
      <c r="J75" s="101">
        <f t="shared" si="31"/>
        <v>75.037109375</v>
      </c>
      <c r="K75" s="102">
        <f t="shared" si="25"/>
        <v>614704</v>
      </c>
      <c r="N75" s="6"/>
      <c r="O75" s="6"/>
      <c r="P75" s="7"/>
      <c r="Q75" s="7"/>
      <c r="R75" s="7"/>
      <c r="S75" s="24"/>
      <c r="T75" s="25"/>
      <c r="U75" s="21"/>
      <c r="V75" s="21"/>
      <c r="W75" s="21"/>
      <c r="X75" s="21"/>
      <c r="AL75" s="1"/>
    </row>
    <row r="76" spans="1:38" ht="16.5">
      <c r="A76" s="105"/>
      <c r="B76" s="85"/>
      <c r="C76" s="100">
        <v>10</v>
      </c>
      <c r="D76" s="101">
        <f t="shared" si="32"/>
        <v>172.134765625</v>
      </c>
      <c r="E76" s="107">
        <f t="shared" si="3"/>
        <v>1410128</v>
      </c>
      <c r="F76" s="68"/>
      <c r="G76" s="105"/>
      <c r="H76" s="85"/>
      <c r="I76" s="100">
        <v>10</v>
      </c>
      <c r="J76" s="101">
        <f t="shared" si="31"/>
        <v>57.380859375</v>
      </c>
      <c r="K76" s="102">
        <f t="shared" si="25"/>
        <v>470064</v>
      </c>
      <c r="N76" s="6"/>
      <c r="O76" s="6"/>
      <c r="P76" s="7"/>
      <c r="Q76" s="7"/>
      <c r="R76" s="7"/>
      <c r="S76" s="24"/>
      <c r="T76" s="25"/>
      <c r="U76" s="21"/>
      <c r="V76" s="21"/>
      <c r="W76" s="21"/>
      <c r="X76" s="21"/>
      <c r="AL76" s="1"/>
    </row>
    <row r="77" spans="1:38" ht="16.5">
      <c r="A77" s="105"/>
      <c r="B77" s="85"/>
      <c r="C77" s="100">
        <v>5</v>
      </c>
      <c r="D77" s="101">
        <f t="shared" si="32"/>
        <v>119.1708984375</v>
      </c>
      <c r="E77" s="107">
        <f t="shared" si="3"/>
        <v>976248</v>
      </c>
      <c r="F77" s="68"/>
      <c r="G77" s="105"/>
      <c r="H77" s="85"/>
      <c r="I77" s="100">
        <v>5</v>
      </c>
      <c r="J77" s="101">
        <f t="shared" si="31"/>
        <v>39.724609375</v>
      </c>
      <c r="K77" s="102">
        <f t="shared" si="25"/>
        <v>325424</v>
      </c>
      <c r="N77" s="6"/>
      <c r="O77" s="6"/>
      <c r="P77" s="7"/>
      <c r="Q77" s="7"/>
      <c r="R77" s="7"/>
      <c r="S77" s="24"/>
      <c r="T77" s="25"/>
      <c r="U77" s="21"/>
      <c r="V77" s="21"/>
      <c r="W77" s="21"/>
      <c r="X77" s="21"/>
      <c r="AL77" s="1"/>
    </row>
    <row r="78" spans="1:38" ht="16.5">
      <c r="A78" s="105"/>
      <c r="B78" s="85"/>
      <c r="C78" s="100">
        <v>4</v>
      </c>
      <c r="D78" s="101">
        <f t="shared" si="32"/>
        <v>108.578125</v>
      </c>
      <c r="E78" s="107">
        <f t="shared" si="3"/>
        <v>889472</v>
      </c>
      <c r="F78" s="68"/>
      <c r="G78" s="105"/>
      <c r="H78" s="85"/>
      <c r="I78" s="100">
        <v>4</v>
      </c>
      <c r="J78" s="101">
        <f t="shared" si="31"/>
        <v>36.193359375</v>
      </c>
      <c r="K78" s="102">
        <f t="shared" si="25"/>
        <v>296496</v>
      </c>
      <c r="N78" s="6"/>
      <c r="O78" s="6"/>
      <c r="P78" s="7"/>
      <c r="Q78" s="7"/>
      <c r="R78" s="7"/>
      <c r="S78" s="24"/>
      <c r="T78" s="25"/>
      <c r="U78" s="21"/>
      <c r="V78" s="21"/>
      <c r="W78" s="21"/>
      <c r="X78" s="21"/>
      <c r="AL78" s="1"/>
    </row>
    <row r="79" spans="1:38" ht="16.5">
      <c r="A79" s="105"/>
      <c r="B79" s="85"/>
      <c r="C79" s="100">
        <v>3</v>
      </c>
      <c r="D79" s="101">
        <f t="shared" si="32"/>
        <v>97.9853515625</v>
      </c>
      <c r="E79" s="102">
        <f t="shared" si="3"/>
        <v>802696</v>
      </c>
      <c r="F79" s="68"/>
      <c r="G79" s="105"/>
      <c r="H79" s="85"/>
      <c r="I79" s="100">
        <v>3</v>
      </c>
      <c r="J79" s="101">
        <f t="shared" si="31"/>
        <v>32.662109375</v>
      </c>
      <c r="K79" s="102">
        <f t="shared" si="25"/>
        <v>267568</v>
      </c>
      <c r="N79" s="6"/>
      <c r="O79" s="6"/>
      <c r="P79" s="7"/>
      <c r="Q79" s="7"/>
      <c r="R79" s="7"/>
      <c r="S79" s="24"/>
      <c r="T79" s="25"/>
      <c r="U79" s="21"/>
      <c r="V79" s="21"/>
      <c r="W79" s="21"/>
      <c r="X79" s="21"/>
      <c r="AL79" s="1"/>
    </row>
    <row r="80" spans="1:38" ht="16.5">
      <c r="A80" s="105"/>
      <c r="B80" s="85"/>
      <c r="C80" s="100">
        <v>2</v>
      </c>
      <c r="D80" s="101">
        <f t="shared" si="32"/>
        <v>87.392578125</v>
      </c>
      <c r="E80" s="102">
        <f t="shared" si="3"/>
        <v>715920</v>
      </c>
      <c r="F80" s="68"/>
      <c r="G80" s="105"/>
      <c r="H80" s="85"/>
      <c r="I80" s="100">
        <v>2</v>
      </c>
      <c r="J80" s="101">
        <f t="shared" si="31"/>
        <v>29.130859375</v>
      </c>
      <c r="K80" s="102">
        <f t="shared" si="25"/>
        <v>238640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AL80" s="1"/>
    </row>
    <row r="81" spans="1:38" ht="16.5">
      <c r="A81" s="105"/>
      <c r="B81" s="90"/>
      <c r="C81" s="108">
        <v>1</v>
      </c>
      <c r="D81" s="101">
        <f t="shared" si="32"/>
        <v>76.7998046875</v>
      </c>
      <c r="E81" s="109">
        <f t="shared" si="3"/>
        <v>629144</v>
      </c>
      <c r="F81" s="68"/>
      <c r="G81" s="105"/>
      <c r="H81" s="90"/>
      <c r="I81" s="108">
        <v>1</v>
      </c>
      <c r="J81" s="110">
        <f t="shared" si="31"/>
        <v>25.599609375</v>
      </c>
      <c r="K81" s="111">
        <f t="shared" si="25"/>
        <v>209712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AL81" s="1"/>
    </row>
    <row r="82" spans="1:38" ht="16.5">
      <c r="A82" s="105"/>
      <c r="B82" s="112" t="s">
        <v>17</v>
      </c>
      <c r="C82" s="112">
        <v>30</v>
      </c>
      <c r="D82" s="113">
        <f>($D$16+$E$16*($C82-1))/1024</f>
        <v>511.9970703125</v>
      </c>
      <c r="E82" s="114">
        <f t="shared" si="3"/>
        <v>4194280</v>
      </c>
      <c r="F82" s="68"/>
      <c r="G82" s="105"/>
      <c r="H82" s="112" t="s">
        <v>17</v>
      </c>
      <c r="I82" s="112">
        <v>30</v>
      </c>
      <c r="J82" s="113">
        <f>($J$16+$K$16*($I82-1))/1024</f>
        <v>192.009765625</v>
      </c>
      <c r="K82" s="114">
        <f t="shared" si="25"/>
        <v>1572944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AL82" s="1"/>
    </row>
    <row r="83" spans="1:38" ht="16.5">
      <c r="A83" s="105"/>
      <c r="B83" s="100"/>
      <c r="C83" s="100"/>
      <c r="D83" s="115"/>
      <c r="E83" s="116"/>
      <c r="F83" s="68"/>
      <c r="G83" s="105"/>
      <c r="H83" s="100"/>
      <c r="I83" s="100">
        <v>25</v>
      </c>
      <c r="J83" s="115">
        <f aca="true" t="shared" si="33" ref="J83:J90">($J$16+$K$16*($I83-1))/1024</f>
        <v>165.525390625</v>
      </c>
      <c r="K83" s="116">
        <f t="shared" si="25"/>
        <v>1355984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L83" s="1"/>
    </row>
    <row r="84" spans="1:38" ht="16.5">
      <c r="A84" s="105"/>
      <c r="B84" s="85"/>
      <c r="C84" s="100">
        <v>15</v>
      </c>
      <c r="D84" s="115">
        <f aca="true" t="shared" si="34" ref="D84:D90">($D$16+$E$16*($C84-1))/1024</f>
        <v>300.13671875</v>
      </c>
      <c r="E84" s="116">
        <f t="shared" si="3"/>
        <v>2458720</v>
      </c>
      <c r="F84" s="68"/>
      <c r="G84" s="105"/>
      <c r="H84" s="85"/>
      <c r="I84" s="100">
        <v>15</v>
      </c>
      <c r="J84" s="115">
        <f t="shared" si="33"/>
        <v>112.556640625</v>
      </c>
      <c r="K84" s="116">
        <f t="shared" si="25"/>
        <v>922064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L84" s="1"/>
    </row>
    <row r="85" spans="1:38" ht="16.5">
      <c r="A85" s="105"/>
      <c r="B85" s="85"/>
      <c r="C85" s="100">
        <v>10</v>
      </c>
      <c r="D85" s="115">
        <f t="shared" si="34"/>
        <v>229.5166015625</v>
      </c>
      <c r="E85" s="116">
        <f t="shared" si="3"/>
        <v>1880200</v>
      </c>
      <c r="F85" s="68"/>
      <c r="G85" s="105"/>
      <c r="H85" s="85"/>
      <c r="I85" s="100">
        <v>10</v>
      </c>
      <c r="J85" s="115">
        <f t="shared" si="33"/>
        <v>86.072265625</v>
      </c>
      <c r="K85" s="116">
        <f t="shared" si="25"/>
        <v>705104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AL85" s="1"/>
    </row>
    <row r="86" spans="1:38" ht="16.5">
      <c r="A86" s="105"/>
      <c r="B86" s="85"/>
      <c r="C86" s="100">
        <v>5</v>
      </c>
      <c r="D86" s="115">
        <f t="shared" si="34"/>
        <v>158.896484375</v>
      </c>
      <c r="E86" s="116">
        <f t="shared" si="3"/>
        <v>1301680</v>
      </c>
      <c r="F86" s="68"/>
      <c r="G86" s="105"/>
      <c r="H86" s="85"/>
      <c r="I86" s="100">
        <v>5</v>
      </c>
      <c r="J86" s="115">
        <f t="shared" si="33"/>
        <v>59.587890625</v>
      </c>
      <c r="K86" s="116">
        <f t="shared" si="25"/>
        <v>488144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AL86" s="1"/>
    </row>
    <row r="87" spans="1:38" ht="16.5">
      <c r="A87" s="105"/>
      <c r="B87" s="85"/>
      <c r="C87" s="100">
        <v>4</v>
      </c>
      <c r="D87" s="115">
        <f t="shared" si="34"/>
        <v>144.7724609375</v>
      </c>
      <c r="E87" s="116">
        <f t="shared" si="3"/>
        <v>1185976</v>
      </c>
      <c r="F87" s="68"/>
      <c r="G87" s="105"/>
      <c r="H87" s="85"/>
      <c r="I87" s="100">
        <v>4</v>
      </c>
      <c r="J87" s="115">
        <f t="shared" si="33"/>
        <v>54.291015625</v>
      </c>
      <c r="K87" s="116">
        <f t="shared" si="25"/>
        <v>444752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AL87" s="1"/>
    </row>
    <row r="88" spans="1:38" ht="16.5">
      <c r="A88" s="105"/>
      <c r="B88" s="85"/>
      <c r="C88" s="100">
        <v>3</v>
      </c>
      <c r="D88" s="115">
        <f t="shared" si="34"/>
        <v>130.6484375</v>
      </c>
      <c r="E88" s="116">
        <f t="shared" si="3"/>
        <v>1070272</v>
      </c>
      <c r="F88" s="68"/>
      <c r="G88" s="105"/>
      <c r="H88" s="85"/>
      <c r="I88" s="100">
        <v>3</v>
      </c>
      <c r="J88" s="115">
        <f t="shared" si="33"/>
        <v>48.994140625</v>
      </c>
      <c r="K88" s="116">
        <f t="shared" si="25"/>
        <v>401360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AL88" s="1"/>
    </row>
    <row r="89" spans="1:38" ht="16.5">
      <c r="A89" s="105"/>
      <c r="B89" s="85"/>
      <c r="C89" s="100">
        <v>2</v>
      </c>
      <c r="D89" s="115">
        <f t="shared" si="34"/>
        <v>116.5244140625</v>
      </c>
      <c r="E89" s="116">
        <f t="shared" si="3"/>
        <v>954568</v>
      </c>
      <c r="F89" s="68"/>
      <c r="G89" s="105"/>
      <c r="H89" s="85"/>
      <c r="I89" s="100">
        <v>2</v>
      </c>
      <c r="J89" s="115">
        <f t="shared" si="33"/>
        <v>43.697265625</v>
      </c>
      <c r="K89" s="116">
        <f t="shared" si="25"/>
        <v>357968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AL89" s="1"/>
    </row>
    <row r="90" spans="1:38" ht="16.5">
      <c r="A90" s="105"/>
      <c r="B90" s="90"/>
      <c r="C90" s="108">
        <v>1</v>
      </c>
      <c r="D90" s="115">
        <f t="shared" si="34"/>
        <v>102.400390625</v>
      </c>
      <c r="E90" s="109">
        <f t="shared" si="3"/>
        <v>838864</v>
      </c>
      <c r="F90" s="68"/>
      <c r="G90" s="105"/>
      <c r="H90" s="90"/>
      <c r="I90" s="108">
        <v>1</v>
      </c>
      <c r="J90" s="117">
        <f t="shared" si="33"/>
        <v>38.400390625</v>
      </c>
      <c r="K90" s="109">
        <f t="shared" si="25"/>
        <v>314576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AL90" s="1"/>
    </row>
    <row r="91" spans="1:38" ht="16.5">
      <c r="A91" s="105"/>
      <c r="B91" s="100" t="s">
        <v>13</v>
      </c>
      <c r="C91" s="100">
        <v>30</v>
      </c>
      <c r="D91" s="113">
        <f>($D$17+$E$17*($C91-1))/1024</f>
        <v>640.0029296875</v>
      </c>
      <c r="E91" s="116">
        <f t="shared" si="3"/>
        <v>5242904</v>
      </c>
      <c r="F91" s="68"/>
      <c r="G91" s="105"/>
      <c r="H91" s="100" t="s">
        <v>13</v>
      </c>
      <c r="I91" s="100">
        <v>30</v>
      </c>
      <c r="J91" s="113">
        <f>($J$17+$K$17*($I91-1))/1024</f>
        <v>256.0126953125</v>
      </c>
      <c r="K91" s="114">
        <f t="shared" si="25"/>
        <v>2097256</v>
      </c>
      <c r="N91" s="6"/>
      <c r="O91" s="6"/>
      <c r="P91" s="7"/>
      <c r="Q91" s="7"/>
      <c r="R91" s="7"/>
      <c r="S91" s="157"/>
      <c r="T91" s="157"/>
      <c r="U91" s="157"/>
      <c r="V91" s="157"/>
      <c r="W91" s="157"/>
      <c r="X91" s="157"/>
      <c r="AL91" s="1"/>
    </row>
    <row r="92" spans="1:38" ht="16.5">
      <c r="A92" s="105"/>
      <c r="B92" s="100"/>
      <c r="C92" s="100"/>
      <c r="D92" s="115"/>
      <c r="E92" s="116"/>
      <c r="F92" s="68"/>
      <c r="G92" s="105"/>
      <c r="H92" s="100"/>
      <c r="I92" s="100">
        <v>25</v>
      </c>
      <c r="J92" s="115">
        <f aca="true" t="shared" si="35" ref="J92:J99">($J$17+$K$17*($I92-1))/1024</f>
        <v>220.7001953125</v>
      </c>
      <c r="K92" s="116">
        <f t="shared" si="25"/>
        <v>1807976</v>
      </c>
      <c r="N92" s="6"/>
      <c r="O92" s="6"/>
      <c r="P92" s="7"/>
      <c r="Q92" s="7"/>
      <c r="R92" s="7"/>
      <c r="S92" s="11"/>
      <c r="T92" s="11"/>
      <c r="U92" s="11"/>
      <c r="V92" s="11"/>
      <c r="W92" s="11"/>
      <c r="X92" s="11"/>
      <c r="AL92" s="1"/>
    </row>
    <row r="93" spans="1:38" ht="16.5">
      <c r="A93" s="105"/>
      <c r="B93" s="85"/>
      <c r="C93" s="100">
        <v>15</v>
      </c>
      <c r="D93" s="115">
        <f aca="true" t="shared" si="36" ref="D93:D99">($D$17+$E$17*($C93-1))/1024</f>
        <v>375.173828125</v>
      </c>
      <c r="E93" s="116">
        <f t="shared" si="3"/>
        <v>3073424</v>
      </c>
      <c r="F93" s="68"/>
      <c r="G93" s="105"/>
      <c r="H93" s="85"/>
      <c r="I93" s="100">
        <v>15</v>
      </c>
      <c r="J93" s="115">
        <f t="shared" si="35"/>
        <v>150.0751953125</v>
      </c>
      <c r="K93" s="116">
        <f t="shared" si="25"/>
        <v>1229416</v>
      </c>
      <c r="N93" s="7"/>
      <c r="O93" s="7"/>
      <c r="P93" s="7"/>
      <c r="Q93" s="7"/>
      <c r="R93" s="7"/>
      <c r="S93" s="11"/>
      <c r="T93" s="23"/>
      <c r="U93" s="7"/>
      <c r="V93" s="7"/>
      <c r="W93" s="7"/>
      <c r="X93" s="7"/>
      <c r="AL93" s="1"/>
    </row>
    <row r="94" spans="1:38" ht="16.5">
      <c r="A94" s="105"/>
      <c r="B94" s="85"/>
      <c r="C94" s="100">
        <v>10</v>
      </c>
      <c r="D94" s="115">
        <f t="shared" si="36"/>
        <v>286.8974609375</v>
      </c>
      <c r="E94" s="116">
        <f>D94*1024*8</f>
        <v>2350264</v>
      </c>
      <c r="F94" s="68"/>
      <c r="G94" s="105"/>
      <c r="H94" s="85"/>
      <c r="I94" s="100">
        <v>10</v>
      </c>
      <c r="J94" s="115">
        <f t="shared" si="35"/>
        <v>114.7626953125</v>
      </c>
      <c r="K94" s="116">
        <f t="shared" si="25"/>
        <v>940136</v>
      </c>
      <c r="N94" s="7"/>
      <c r="O94" s="7"/>
      <c r="P94" s="7"/>
      <c r="Q94" s="7"/>
      <c r="R94" s="7"/>
      <c r="S94" s="24"/>
      <c r="T94" s="25"/>
      <c r="U94" s="21"/>
      <c r="V94" s="21"/>
      <c r="W94" s="21"/>
      <c r="X94" s="21"/>
      <c r="AL94" s="1"/>
    </row>
    <row r="95" spans="1:38" ht="16.5">
      <c r="A95" s="105"/>
      <c r="B95" s="85"/>
      <c r="C95" s="100">
        <v>5</v>
      </c>
      <c r="D95" s="115">
        <f t="shared" si="36"/>
        <v>198.62109375</v>
      </c>
      <c r="E95" s="116">
        <f t="shared" si="3"/>
        <v>1627104</v>
      </c>
      <c r="F95" s="68"/>
      <c r="G95" s="105"/>
      <c r="H95" s="85"/>
      <c r="I95" s="100">
        <v>5</v>
      </c>
      <c r="J95" s="115">
        <f t="shared" si="35"/>
        <v>79.4501953125</v>
      </c>
      <c r="K95" s="116">
        <f t="shared" si="25"/>
        <v>650856</v>
      </c>
      <c r="N95" s="7"/>
      <c r="O95" s="7"/>
      <c r="P95" s="7"/>
      <c r="Q95" s="7"/>
      <c r="R95" s="7"/>
      <c r="S95" s="24"/>
      <c r="T95" s="25"/>
      <c r="U95" s="21"/>
      <c r="V95" s="21"/>
      <c r="W95" s="21"/>
      <c r="X95" s="21"/>
      <c r="AL95" s="1"/>
    </row>
    <row r="96" spans="1:38" ht="16.5">
      <c r="A96" s="105"/>
      <c r="B96" s="85"/>
      <c r="C96" s="100">
        <v>4</v>
      </c>
      <c r="D96" s="115">
        <f t="shared" si="36"/>
        <v>180.9658203125</v>
      </c>
      <c r="E96" s="116">
        <f t="shared" si="3"/>
        <v>1482472</v>
      </c>
      <c r="F96" s="68"/>
      <c r="G96" s="105"/>
      <c r="H96" s="85"/>
      <c r="I96" s="100">
        <v>4</v>
      </c>
      <c r="J96" s="115">
        <f t="shared" si="35"/>
        <v>72.3876953125</v>
      </c>
      <c r="K96" s="116">
        <f t="shared" si="25"/>
        <v>593000</v>
      </c>
      <c r="N96" s="7"/>
      <c r="O96" s="7"/>
      <c r="P96" s="7"/>
      <c r="Q96" s="7"/>
      <c r="R96" s="7"/>
      <c r="S96" s="24"/>
      <c r="T96" s="25"/>
      <c r="U96" s="21"/>
      <c r="V96" s="21"/>
      <c r="W96" s="21"/>
      <c r="X96" s="21"/>
      <c r="AL96" s="1"/>
    </row>
    <row r="97" spans="1:38" ht="16.5">
      <c r="A97" s="105"/>
      <c r="B97" s="85"/>
      <c r="C97" s="100">
        <v>3</v>
      </c>
      <c r="D97" s="115">
        <f t="shared" si="36"/>
        <v>163.310546875</v>
      </c>
      <c r="E97" s="116">
        <f t="shared" si="3"/>
        <v>1337840</v>
      </c>
      <c r="F97" s="68"/>
      <c r="G97" s="105"/>
      <c r="H97" s="85"/>
      <c r="I97" s="100">
        <v>3</v>
      </c>
      <c r="J97" s="115">
        <f t="shared" si="35"/>
        <v>65.3251953125</v>
      </c>
      <c r="K97" s="116">
        <f t="shared" si="25"/>
        <v>535144</v>
      </c>
      <c r="N97" s="7"/>
      <c r="O97" s="7"/>
      <c r="P97" s="7"/>
      <c r="Q97" s="7"/>
      <c r="R97" s="7"/>
      <c r="S97" s="24"/>
      <c r="T97" s="25"/>
      <c r="U97" s="21"/>
      <c r="V97" s="21"/>
      <c r="W97" s="21"/>
      <c r="X97" s="21"/>
      <c r="AL97" s="1"/>
    </row>
    <row r="98" spans="1:38" ht="16.5">
      <c r="A98" s="105"/>
      <c r="B98" s="85"/>
      <c r="C98" s="100">
        <v>2</v>
      </c>
      <c r="D98" s="115">
        <f t="shared" si="36"/>
        <v>145.6552734375</v>
      </c>
      <c r="E98" s="116">
        <f t="shared" si="3"/>
        <v>1193208</v>
      </c>
      <c r="F98" s="68"/>
      <c r="G98" s="105"/>
      <c r="H98" s="85"/>
      <c r="I98" s="100">
        <v>2</v>
      </c>
      <c r="J98" s="115">
        <f t="shared" si="35"/>
        <v>58.2626953125</v>
      </c>
      <c r="K98" s="116">
        <f t="shared" si="25"/>
        <v>477288</v>
      </c>
      <c r="N98" s="6"/>
      <c r="O98" s="6"/>
      <c r="P98" s="7"/>
      <c r="Q98" s="7"/>
      <c r="R98" s="7"/>
      <c r="S98" s="24"/>
      <c r="T98" s="25"/>
      <c r="U98" s="21"/>
      <c r="V98" s="21"/>
      <c r="W98" s="21"/>
      <c r="X98" s="21"/>
      <c r="AL98" s="1"/>
    </row>
    <row r="99" spans="1:38" ht="17.25" thickBot="1">
      <c r="A99" s="118"/>
      <c r="B99" s="95"/>
      <c r="C99" s="119">
        <v>1</v>
      </c>
      <c r="D99" s="120">
        <f t="shared" si="36"/>
        <v>128</v>
      </c>
      <c r="E99" s="121">
        <f t="shared" si="3"/>
        <v>1048576</v>
      </c>
      <c r="F99" s="68"/>
      <c r="G99" s="118"/>
      <c r="H99" s="95"/>
      <c r="I99" s="119">
        <v>1</v>
      </c>
      <c r="J99" s="120">
        <f t="shared" si="35"/>
        <v>51.2001953125</v>
      </c>
      <c r="K99" s="121">
        <f t="shared" si="25"/>
        <v>419432</v>
      </c>
      <c r="N99" s="6"/>
      <c r="O99" s="6"/>
      <c r="P99" s="7"/>
      <c r="Q99" s="7"/>
      <c r="R99" s="7"/>
      <c r="S99" s="24"/>
      <c r="T99" s="25"/>
      <c r="U99" s="21"/>
      <c r="V99" s="21"/>
      <c r="W99" s="21"/>
      <c r="X99" s="21"/>
      <c r="AL99" s="1"/>
    </row>
    <row r="100" spans="14:38" ht="16.5">
      <c r="N100" s="6"/>
      <c r="O100" s="6"/>
      <c r="P100" s="7"/>
      <c r="Q100" s="7"/>
      <c r="R100" s="7"/>
      <c r="S100" s="24"/>
      <c r="T100" s="25"/>
      <c r="U100" s="21"/>
      <c r="V100" s="21"/>
      <c r="W100" s="21"/>
      <c r="X100" s="21"/>
      <c r="AL100" s="1"/>
    </row>
    <row r="101" spans="14:38" ht="16.5">
      <c r="N101" s="6"/>
      <c r="O101" s="6"/>
      <c r="P101" s="7"/>
      <c r="Q101" s="7"/>
      <c r="R101" s="7"/>
      <c r="S101" s="24"/>
      <c r="T101" s="25"/>
      <c r="U101" s="21"/>
      <c r="V101" s="21"/>
      <c r="W101" s="21"/>
      <c r="X101" s="21"/>
      <c r="AL101" s="1"/>
    </row>
    <row r="102" spans="14:38" ht="16.5">
      <c r="N102" s="6"/>
      <c r="O102" s="6"/>
      <c r="P102" s="7"/>
      <c r="Q102" s="7"/>
      <c r="R102" s="7"/>
      <c r="S102" s="24"/>
      <c r="T102" s="25"/>
      <c r="U102" s="21"/>
      <c r="V102" s="21"/>
      <c r="W102" s="21"/>
      <c r="X102" s="21"/>
      <c r="AL102" s="1"/>
    </row>
    <row r="103" spans="14:38" ht="16.5">
      <c r="N103" s="6"/>
      <c r="O103" s="6"/>
      <c r="P103" s="7"/>
      <c r="Q103" s="7"/>
      <c r="R103" s="7"/>
      <c r="S103" s="24"/>
      <c r="T103" s="25"/>
      <c r="U103" s="21"/>
      <c r="V103" s="21"/>
      <c r="W103" s="21"/>
      <c r="X103" s="21"/>
      <c r="AL103" s="1"/>
    </row>
    <row r="104" spans="14:38" ht="16.5"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AL104" s="1"/>
    </row>
    <row r="105" spans="14:38" ht="16.5"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AL105" s="1"/>
    </row>
    <row r="106" spans="25:38" ht="16.5">
      <c r="Y106" s="6"/>
      <c r="Z106" s="7"/>
      <c r="AA106" s="8"/>
      <c r="AB106" s="9"/>
      <c r="AC106" s="9"/>
      <c r="AD106" s="10"/>
      <c r="AE106" s="10"/>
      <c r="AF106" s="10"/>
      <c r="AG106" s="10"/>
      <c r="AH106" s="10"/>
      <c r="AI106" s="10"/>
      <c r="AJ106" s="10"/>
      <c r="AK106" s="10"/>
      <c r="AL106" s="11"/>
    </row>
    <row r="107" spans="25:38" ht="16.5">
      <c r="Y107" s="6"/>
      <c r="Z107" s="7"/>
      <c r="AA107" s="15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1"/>
    </row>
    <row r="108" spans="25:38" ht="16.5">
      <c r="Y108" s="6"/>
      <c r="Z108" s="7"/>
      <c r="AA108" s="8"/>
      <c r="AB108" s="9"/>
      <c r="AC108" s="9"/>
      <c r="AD108" s="9"/>
      <c r="AE108" s="10"/>
      <c r="AF108" s="10"/>
      <c r="AG108" s="10"/>
      <c r="AH108" s="10"/>
      <c r="AI108" s="10"/>
      <c r="AJ108" s="10"/>
      <c r="AK108" s="10"/>
      <c r="AL108" s="11"/>
    </row>
    <row r="109" spans="25:38" ht="16.5">
      <c r="Y109" s="6"/>
      <c r="Z109" s="7"/>
      <c r="AA109" s="8"/>
      <c r="AB109" s="9"/>
      <c r="AC109" s="9"/>
      <c r="AD109" s="9"/>
      <c r="AE109" s="10"/>
      <c r="AF109" s="10"/>
      <c r="AG109" s="10"/>
      <c r="AH109" s="10"/>
      <c r="AI109" s="10"/>
      <c r="AJ109" s="10"/>
      <c r="AK109" s="10"/>
      <c r="AL109" s="11"/>
    </row>
    <row r="110" spans="25:38" ht="16.5">
      <c r="Y110" s="6"/>
      <c r="Z110" s="7"/>
      <c r="AA110" s="8"/>
      <c r="AB110" s="9"/>
      <c r="AC110" s="9"/>
      <c r="AD110" s="10"/>
      <c r="AE110" s="10"/>
      <c r="AF110" s="10"/>
      <c r="AG110" s="10"/>
      <c r="AH110" s="10"/>
      <c r="AI110" s="10"/>
      <c r="AJ110" s="10"/>
      <c r="AK110" s="10"/>
      <c r="AL110" s="11"/>
    </row>
    <row r="111" spans="25:38" ht="16.5">
      <c r="Y111" s="6"/>
      <c r="Z111" s="7"/>
      <c r="AA111" s="15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1"/>
    </row>
    <row r="112" spans="25:38" ht="16.5">
      <c r="Y112" s="6"/>
      <c r="Z112" s="7"/>
      <c r="AA112" s="8"/>
      <c r="AB112" s="9"/>
      <c r="AC112" s="9"/>
      <c r="AD112" s="9"/>
      <c r="AE112" s="10"/>
      <c r="AF112" s="10"/>
      <c r="AG112" s="10"/>
      <c r="AH112" s="10"/>
      <c r="AI112" s="10"/>
      <c r="AJ112" s="10"/>
      <c r="AK112" s="10"/>
      <c r="AL112" s="11"/>
    </row>
    <row r="113" spans="25:38" ht="16.5">
      <c r="Y113" s="6"/>
      <c r="Z113" s="7"/>
      <c r="AA113" s="8"/>
      <c r="AB113" s="9"/>
      <c r="AC113" s="9"/>
      <c r="AD113" s="9"/>
      <c r="AE113" s="10"/>
      <c r="AF113" s="10"/>
      <c r="AG113" s="10"/>
      <c r="AH113" s="10"/>
      <c r="AI113" s="10"/>
      <c r="AJ113" s="10"/>
      <c r="AK113" s="10"/>
      <c r="AL113" s="11"/>
    </row>
    <row r="114" spans="25:38" ht="16.5">
      <c r="Y114" s="6"/>
      <c r="Z114" s="7"/>
      <c r="AA114" s="8"/>
      <c r="AB114" s="9"/>
      <c r="AC114" s="9"/>
      <c r="AD114" s="10"/>
      <c r="AE114" s="10"/>
      <c r="AF114" s="10"/>
      <c r="AG114" s="10"/>
      <c r="AH114" s="10"/>
      <c r="AI114" s="10"/>
      <c r="AJ114" s="10"/>
      <c r="AK114" s="10"/>
      <c r="AL114" s="11"/>
    </row>
    <row r="123" spans="14:20" ht="16.5">
      <c r="N123" s="2"/>
      <c r="O123" s="2"/>
      <c r="P123" s="2"/>
      <c r="Q123" s="2"/>
      <c r="R123" s="2"/>
      <c r="S123" s="2"/>
      <c r="T123" s="9"/>
    </row>
    <row r="124" spans="14:20" ht="16.5">
      <c r="N124" s="2"/>
      <c r="O124" s="2"/>
      <c r="P124" s="2"/>
      <c r="Q124" s="2"/>
      <c r="R124" s="2"/>
      <c r="S124" s="2"/>
      <c r="T124" s="26"/>
    </row>
    <row r="125" spans="14:20" ht="16.5">
      <c r="N125" s="2"/>
      <c r="O125" s="2"/>
      <c r="P125" s="2"/>
      <c r="Q125" s="2"/>
      <c r="R125" s="2"/>
      <c r="S125" s="2"/>
      <c r="T125" s="26"/>
    </row>
    <row r="126" spans="14:20" ht="16.5">
      <c r="N126" s="2"/>
      <c r="O126" s="2"/>
      <c r="P126" s="2"/>
      <c r="Q126" s="2"/>
      <c r="R126" s="2"/>
      <c r="S126" s="2"/>
      <c r="T126" s="26"/>
    </row>
  </sheetData>
  <sheetProtection/>
  <mergeCells count="27">
    <mergeCell ref="K19:K20"/>
    <mergeCell ref="R21:S21"/>
    <mergeCell ref="N26:N48"/>
    <mergeCell ref="S91:T91"/>
    <mergeCell ref="U91:X91"/>
    <mergeCell ref="S66:T66"/>
    <mergeCell ref="U66:X66"/>
    <mergeCell ref="T21:Y21"/>
    <mergeCell ref="U4:U5"/>
    <mergeCell ref="V4:V5"/>
    <mergeCell ref="P4:Q4"/>
    <mergeCell ref="T4:T5"/>
    <mergeCell ref="L4:L5"/>
    <mergeCell ref="M4:M5"/>
    <mergeCell ref="O4:O5"/>
    <mergeCell ref="S4:S5"/>
    <mergeCell ref="R4:R5"/>
    <mergeCell ref="A19:A20"/>
    <mergeCell ref="B19:B20"/>
    <mergeCell ref="C19:C20"/>
    <mergeCell ref="D19:D20"/>
    <mergeCell ref="N4:N5"/>
    <mergeCell ref="E19:E20"/>
    <mergeCell ref="G19:G20"/>
    <mergeCell ref="H19:H20"/>
    <mergeCell ref="I19:I20"/>
    <mergeCell ref="J19:J20"/>
  </mergeCells>
  <dataValidations count="3">
    <dataValidation type="list" allowBlank="1" showInputMessage="1" showErrorMessage="1" sqref="O23">
      <formula1>"QVGA, VGA, 720P"</formula1>
    </dataValidation>
    <dataValidation type="list" allowBlank="1" showInputMessage="1" showErrorMessage="1" sqref="P23">
      <formula1>"CIF, HD1, D1"</formula1>
    </dataValidation>
    <dataValidation type="list" allowBlank="1" showInputMessage="1" showErrorMessage="1" sqref="O24:P24">
      <formula1>"standard, high, super"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tychoi</dc:creator>
  <cp:keywords/>
  <dc:description/>
  <cp:lastModifiedBy>Toni Neff</cp:lastModifiedBy>
  <cp:lastPrinted>2014-03-03T07:54:28Z</cp:lastPrinted>
  <dcterms:created xsi:type="dcterms:W3CDTF">2010-05-24T06:14:04Z</dcterms:created>
  <dcterms:modified xsi:type="dcterms:W3CDTF">2017-02-22T00:46:20Z</dcterms:modified>
  <cp:category/>
  <cp:version/>
  <cp:contentType/>
  <cp:contentStatus/>
</cp:coreProperties>
</file>